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165" windowWidth="15600" windowHeight="9855" tabRatio="815" activeTab="26"/>
  </bookViews>
  <sheets>
    <sheet name="1" sheetId="3" r:id="rId1"/>
    <sheet name="2" sheetId="2" r:id="rId2"/>
    <sheet name="3" sheetId="5" r:id="rId3"/>
    <sheet name="4" sheetId="4" r:id="rId4"/>
    <sheet name="5" sheetId="6" r:id="rId5"/>
    <sheet name="6" sheetId="7" r:id="rId6"/>
    <sheet name="7" sheetId="8" r:id="rId7"/>
    <sheet name="8" sheetId="42" r:id="rId8"/>
    <sheet name="9" sheetId="10" r:id="rId9"/>
    <sheet name="10" sheetId="17" r:id="rId10"/>
    <sheet name="11" sheetId="11" r:id="rId11"/>
    <sheet name="12" sheetId="34" r:id="rId12"/>
    <sheet name="13" sheetId="14" r:id="rId13"/>
    <sheet name="14" sheetId="29" r:id="rId14"/>
    <sheet name="15" sheetId="33" r:id="rId15"/>
    <sheet name="16" sheetId="25" r:id="rId16"/>
    <sheet name="17" sheetId="26" r:id="rId17"/>
    <sheet name="18" sheetId="28" r:id="rId18"/>
    <sheet name="19" sheetId="27" r:id="rId19"/>
    <sheet name="20" sheetId="40" r:id="rId20"/>
    <sheet name="21" sheetId="30" r:id="rId21"/>
    <sheet name="22" sheetId="31" r:id="rId22"/>
    <sheet name="23" sheetId="32" r:id="rId23"/>
    <sheet name="24" sheetId="39" r:id="rId24"/>
    <sheet name="25" sheetId="12" r:id="rId25"/>
    <sheet name="26" sheetId="15" r:id="rId26"/>
    <sheet name="27" sheetId="23" r:id="rId27"/>
    <sheet name="28" sheetId="38" r:id="rId28"/>
    <sheet name="29" sheetId="24" r:id="rId29"/>
    <sheet name="30" sheetId="21" r:id="rId30"/>
    <sheet name="31" sheetId="41" r:id="rId31"/>
    <sheet name="32" sheetId="46" r:id="rId32"/>
    <sheet name="33" sheetId="47" r:id="rId33"/>
  </sheets>
  <definedNames>
    <definedName name="_xlnm.Print_Area" localSheetId="0">'1'!$A$1:$P$17</definedName>
    <definedName name="_xlnm.Print_Area" localSheetId="9">'10'!$A$1:$K$27</definedName>
    <definedName name="_xlnm.Print_Area" localSheetId="10">'11'!$A$1:$L$25</definedName>
    <definedName name="_xlnm.Print_Area" localSheetId="11">'12'!$A$1:$L$25</definedName>
    <definedName name="_xlnm.Print_Area" localSheetId="12">'13'!$A$1:$K$26</definedName>
    <definedName name="_xlnm.Print_Area" localSheetId="13">'14'!$A$1:$AD$26</definedName>
    <definedName name="_xlnm.Print_Area" localSheetId="14">'15'!$A$1:$S$25</definedName>
    <definedName name="_xlnm.Print_Area" localSheetId="15">'16'!$A$1:$U$26</definedName>
    <definedName name="_xlnm.Print_Area" localSheetId="16">'17'!$A$1:$G$27</definedName>
    <definedName name="_xlnm.Print_Area" localSheetId="17">'18'!$A$1:$L$26</definedName>
    <definedName name="_xlnm.Print_Area" localSheetId="18">'19'!$A$1:$H$27</definedName>
    <definedName name="_xlnm.Print_Area" localSheetId="1">'2'!$A$1:$E$20</definedName>
    <definedName name="_xlnm.Print_Area" localSheetId="19">'20'!$A$1:$M$26</definedName>
    <definedName name="_xlnm.Print_Area" localSheetId="20">'21'!$A$1:$H$26</definedName>
    <definedName name="_xlnm.Print_Area" localSheetId="21">'22'!$A$1:$J$26</definedName>
    <definedName name="_xlnm.Print_Area" localSheetId="22">'23'!$A$1:$E$23</definedName>
    <definedName name="_xlnm.Print_Area" localSheetId="23">'24'!$A$1:$E$30</definedName>
    <definedName name="_xlnm.Print_Area" localSheetId="24">'25'!$A$1:$M$22</definedName>
    <definedName name="_xlnm.Print_Area" localSheetId="25">'26'!$A$1:$K$53</definedName>
    <definedName name="_xlnm.Print_Area" localSheetId="27">'28'!$A$1:$G$124</definedName>
    <definedName name="_xlnm.Print_Area" localSheetId="28">'29'!$A$1:$E$21</definedName>
    <definedName name="_xlnm.Print_Area" localSheetId="2">'3'!$A$1:$H$28</definedName>
    <definedName name="_xlnm.Print_Area" localSheetId="29">'30'!$A$2:$O$22</definedName>
    <definedName name="_xlnm.Print_Area" localSheetId="30">'31'!$A$1:$P$25</definedName>
    <definedName name="_xlnm.Print_Area" localSheetId="31">'32'!$A$1:$G$74</definedName>
    <definedName name="_xlnm.Print_Area" localSheetId="32">'33'!$A$1:$H$409</definedName>
    <definedName name="_xlnm.Print_Area" localSheetId="3">'4'!$A$1:$P$20</definedName>
    <definedName name="_xlnm.Print_Area" localSheetId="4">'5'!$A$1:$L$27</definedName>
    <definedName name="_xlnm.Print_Area" localSheetId="5">'6'!$A$1:$N$21</definedName>
    <definedName name="_xlnm.Print_Area" localSheetId="6">'7'!$A$1:$G$22</definedName>
    <definedName name="_xlnm.Print_Area" localSheetId="7">'8'!$A$1:$P$24</definedName>
    <definedName name="_xlnm.Print_Area" localSheetId="8">'9'!$A$1:$K$25</definedName>
  </definedNames>
  <calcPr calcId="144525"/>
  <fileRecoveryPr autoRecover="0"/>
</workbook>
</file>

<file path=xl/calcChain.xml><?xml version="1.0" encoding="utf-8"?>
<calcChain xmlns="http://schemas.openxmlformats.org/spreadsheetml/2006/main">
  <c r="F60" i="46" l="1"/>
  <c r="E60" i="46"/>
  <c r="D60" i="46"/>
  <c r="C60" i="46"/>
  <c r="F58" i="46"/>
  <c r="E58" i="46"/>
  <c r="D58" i="46"/>
  <c r="C58" i="46"/>
  <c r="F48" i="46"/>
  <c r="E48" i="46"/>
  <c r="D48" i="46"/>
  <c r="F46" i="46"/>
  <c r="E46" i="46"/>
  <c r="D46" i="46"/>
  <c r="C46" i="46"/>
  <c r="F44" i="46"/>
  <c r="E44" i="46"/>
  <c r="D44" i="46"/>
  <c r="C44" i="46"/>
  <c r="F42" i="46"/>
  <c r="E42" i="46"/>
  <c r="D42" i="46"/>
  <c r="C42" i="46"/>
  <c r="F40" i="46"/>
  <c r="E40" i="46"/>
  <c r="D40" i="46"/>
  <c r="C40" i="46"/>
  <c r="F38" i="46"/>
  <c r="E38" i="46"/>
  <c r="D38" i="46"/>
  <c r="C38" i="46"/>
  <c r="F24" i="46"/>
  <c r="E24" i="46"/>
  <c r="D24" i="46"/>
  <c r="C24" i="46"/>
  <c r="F22" i="46"/>
  <c r="E22" i="46"/>
  <c r="C22" i="46"/>
  <c r="F14" i="46"/>
  <c r="E14" i="46"/>
  <c r="D14" i="46"/>
  <c r="C14" i="46"/>
  <c r="F12" i="46"/>
  <c r="E12" i="46"/>
  <c r="D12" i="46"/>
  <c r="C12" i="46"/>
  <c r="F10" i="46"/>
  <c r="E10" i="46"/>
  <c r="D10" i="46"/>
  <c r="C10" i="46"/>
  <c r="F8" i="46"/>
  <c r="E8" i="46"/>
  <c r="D8" i="46"/>
  <c r="C8" i="46"/>
  <c r="F6" i="46"/>
  <c r="E6" i="46"/>
  <c r="D6" i="46"/>
  <c r="C6" i="46"/>
  <c r="L18" i="38" l="1"/>
  <c r="L17" i="38"/>
  <c r="M17" i="38"/>
  <c r="G21" i="30" l="1"/>
  <c r="F21" i="30"/>
  <c r="H21" i="30"/>
  <c r="E7" i="31" l="1"/>
  <c r="P7" i="31" s="1"/>
  <c r="P6" i="31"/>
  <c r="P8" i="31"/>
  <c r="P9" i="31"/>
  <c r="P10" i="31"/>
  <c r="P11" i="31"/>
  <c r="P12" i="31"/>
  <c r="P13" i="31"/>
  <c r="P14" i="31"/>
  <c r="P15" i="31"/>
  <c r="P16" i="31"/>
  <c r="P17" i="31"/>
  <c r="P18" i="31"/>
  <c r="P19" i="31"/>
  <c r="P20" i="31"/>
  <c r="P5" i="31"/>
  <c r="D21" i="31"/>
  <c r="C21" i="31"/>
  <c r="D20" i="31"/>
  <c r="C15" i="31"/>
  <c r="E20" i="31"/>
  <c r="C20" i="31"/>
  <c r="E19" i="31"/>
  <c r="D19" i="31"/>
  <c r="C19" i="31"/>
  <c r="E18" i="31"/>
  <c r="D18" i="31"/>
  <c r="C18" i="31"/>
  <c r="E17" i="31"/>
  <c r="D17" i="31"/>
  <c r="C17" i="31"/>
  <c r="E16" i="31"/>
  <c r="D16" i="31"/>
  <c r="C16" i="31"/>
  <c r="E15" i="31"/>
  <c r="D15" i="31"/>
  <c r="E14" i="31"/>
  <c r="D14" i="31"/>
  <c r="C14" i="31"/>
  <c r="E13" i="31"/>
  <c r="D13" i="31"/>
  <c r="C13" i="31"/>
  <c r="E12" i="31"/>
  <c r="D12" i="31"/>
  <c r="C12" i="31"/>
  <c r="E11" i="31"/>
  <c r="D11" i="31"/>
  <c r="C11" i="31"/>
  <c r="E10" i="31"/>
  <c r="D10" i="31"/>
  <c r="C10" i="31"/>
  <c r="E9" i="31"/>
  <c r="D9" i="31"/>
  <c r="C9" i="31"/>
  <c r="E8" i="31"/>
  <c r="D8" i="31"/>
  <c r="C8" i="31"/>
  <c r="D7" i="31"/>
  <c r="C7" i="31"/>
  <c r="E6" i="31"/>
  <c r="C6" i="31"/>
  <c r="D6" i="31"/>
  <c r="D5" i="31"/>
  <c r="E5" i="31"/>
  <c r="C5" i="31"/>
  <c r="E21" i="31" l="1"/>
  <c r="K21" i="40"/>
  <c r="G21" i="40"/>
  <c r="D20" i="27" l="1"/>
  <c r="C20" i="27"/>
  <c r="D19" i="27"/>
  <c r="C19" i="27"/>
  <c r="D18" i="27"/>
  <c r="C18" i="27"/>
  <c r="D17" i="27"/>
  <c r="C17" i="27"/>
  <c r="D16" i="27"/>
  <c r="C16" i="27"/>
  <c r="D15" i="27"/>
  <c r="C15" i="27"/>
  <c r="D14" i="27"/>
  <c r="C14" i="27"/>
  <c r="D13" i="27"/>
  <c r="C13" i="27"/>
  <c r="D12" i="27"/>
  <c r="C12" i="27"/>
  <c r="D11" i="27"/>
  <c r="C11" i="27"/>
  <c r="D9" i="27"/>
  <c r="C9" i="27"/>
  <c r="D8" i="27"/>
  <c r="C8" i="27"/>
  <c r="D6" i="27"/>
  <c r="C6" i="27"/>
  <c r="D5" i="27"/>
  <c r="C5" i="27"/>
  <c r="D18" i="32" l="1"/>
  <c r="D16" i="32"/>
  <c r="D11" i="32"/>
  <c r="D9" i="32"/>
  <c r="D8" i="32"/>
  <c r="H21" i="40"/>
  <c r="I21" i="40"/>
  <c r="E21" i="17"/>
  <c r="C21" i="10" l="1"/>
  <c r="F20" i="26" l="1"/>
  <c r="D21" i="14"/>
  <c r="E21" i="14"/>
  <c r="F21" i="14"/>
  <c r="G21" i="14"/>
  <c r="B21" i="11"/>
  <c r="O20" i="17"/>
  <c r="O19" i="17"/>
  <c r="O18" i="17"/>
  <c r="O17" i="17"/>
  <c r="O16" i="17"/>
  <c r="O15" i="17"/>
  <c r="O14" i="17"/>
  <c r="O13" i="17"/>
  <c r="O12" i="17"/>
  <c r="O11" i="17"/>
  <c r="O10" i="17"/>
  <c r="O9" i="17"/>
  <c r="O8" i="17"/>
  <c r="O7" i="17"/>
  <c r="O6" i="17"/>
  <c r="O5" i="17"/>
  <c r="G21" i="34" l="1"/>
  <c r="D21" i="11"/>
  <c r="D21" i="17"/>
  <c r="D21" i="10"/>
  <c r="E21" i="34"/>
  <c r="T5" i="29" l="1"/>
  <c r="P5" i="3" l="1"/>
  <c r="O10" i="3"/>
  <c r="P10" i="3" s="1"/>
  <c r="O9" i="3"/>
  <c r="P9" i="3" s="1"/>
  <c r="O8" i="3"/>
  <c r="P8" i="3" s="1"/>
  <c r="O7" i="3"/>
  <c r="P7" i="3" s="1"/>
  <c r="O6" i="3"/>
  <c r="P6" i="3" s="1"/>
  <c r="AD5" i="3"/>
  <c r="AD6" i="3"/>
  <c r="AD7" i="3"/>
  <c r="AD8" i="3"/>
  <c r="AD9" i="3"/>
  <c r="AD10" i="3"/>
  <c r="H15" i="2" l="1"/>
  <c r="I15" i="2" s="1"/>
  <c r="H14" i="2"/>
  <c r="I14" i="2" s="1"/>
  <c r="C11" i="3"/>
  <c r="D11" i="3"/>
  <c r="E11" i="3"/>
  <c r="F11" i="3"/>
  <c r="G11" i="3"/>
  <c r="H11" i="3"/>
  <c r="I11" i="3"/>
  <c r="J11" i="3"/>
  <c r="K11" i="3"/>
  <c r="L11" i="3"/>
  <c r="M11" i="3"/>
  <c r="N11" i="3"/>
  <c r="AC11" i="3"/>
  <c r="AB11" i="3"/>
  <c r="AA11" i="3"/>
  <c r="Z11" i="3"/>
  <c r="Y11" i="3"/>
  <c r="X11" i="3"/>
  <c r="W11" i="3"/>
  <c r="V11" i="3"/>
  <c r="U11" i="3"/>
  <c r="T11" i="3"/>
  <c r="S11" i="3"/>
  <c r="R11" i="3"/>
  <c r="G15" i="8"/>
  <c r="G10" i="8"/>
  <c r="L11" i="8"/>
  <c r="E18" i="39"/>
  <c r="E17" i="39"/>
  <c r="E16" i="39"/>
  <c r="E15" i="39"/>
  <c r="E14" i="39"/>
  <c r="E13" i="39"/>
  <c r="E12" i="39"/>
  <c r="E11" i="39"/>
  <c r="E10" i="39"/>
  <c r="E9" i="39"/>
  <c r="E8" i="39"/>
  <c r="E7" i="39"/>
  <c r="E6" i="39"/>
  <c r="E5" i="39"/>
  <c r="E4" i="39"/>
  <c r="I7" i="39"/>
  <c r="I17" i="39"/>
  <c r="I16" i="39"/>
  <c r="I15" i="39"/>
  <c r="I14" i="39"/>
  <c r="I13" i="39"/>
  <c r="I12" i="39"/>
  <c r="I11" i="39"/>
  <c r="I10" i="39"/>
  <c r="I9" i="39"/>
  <c r="I8" i="39"/>
  <c r="I6" i="39"/>
  <c r="I5" i="39"/>
  <c r="I4" i="39"/>
  <c r="I3" i="39"/>
  <c r="H18" i="39"/>
  <c r="G18" i="39"/>
  <c r="O11" i="3" l="1"/>
  <c r="P11" i="3" s="1"/>
  <c r="I18" i="39"/>
  <c r="AD11" i="3"/>
  <c r="AE11" i="3" s="1"/>
  <c r="AF11" i="3" s="1"/>
  <c r="B14" i="7"/>
  <c r="C14" i="7"/>
  <c r="D14" i="7"/>
  <c r="E14" i="7"/>
  <c r="F14" i="7"/>
  <c r="G14" i="7"/>
  <c r="H14" i="7"/>
  <c r="I14" i="7"/>
  <c r="J14" i="7"/>
  <c r="K14" i="7"/>
  <c r="L14" i="7"/>
  <c r="M14" i="7"/>
  <c r="N14" i="7" l="1"/>
  <c r="B21" i="17"/>
  <c r="E21" i="10"/>
  <c r="F21" i="10"/>
  <c r="G21" i="10"/>
  <c r="H21" i="10"/>
  <c r="I21" i="10"/>
  <c r="M74" i="38" l="1"/>
  <c r="D8" i="41" l="1"/>
  <c r="E8" i="41"/>
  <c r="F8" i="41"/>
  <c r="G8" i="41"/>
  <c r="H8" i="41"/>
  <c r="I8" i="41"/>
  <c r="J8" i="41"/>
  <c r="K8" i="41"/>
  <c r="L8" i="41"/>
  <c r="M8" i="41"/>
  <c r="N8" i="41"/>
  <c r="O8" i="41"/>
  <c r="E5" i="24"/>
  <c r="E6" i="24"/>
  <c r="E7" i="24"/>
  <c r="E8" i="24"/>
  <c r="E9" i="24"/>
  <c r="E10" i="24"/>
  <c r="E11" i="24"/>
  <c r="E12" i="24"/>
  <c r="E13" i="24"/>
  <c r="E14" i="24"/>
  <c r="E15" i="24"/>
  <c r="E16" i="24"/>
  <c r="B17" i="24"/>
  <c r="P8" i="42"/>
  <c r="N5" i="42"/>
  <c r="O5" i="42" s="1"/>
  <c r="N6" i="42"/>
  <c r="O6" i="42" s="1"/>
  <c r="N7" i="42"/>
  <c r="O7" i="42" s="1"/>
  <c r="N8" i="42"/>
  <c r="N9" i="42"/>
  <c r="O9" i="42" s="1"/>
  <c r="N10" i="42"/>
  <c r="O10" i="42" s="1"/>
  <c r="N11" i="42"/>
  <c r="P11" i="42" s="1"/>
  <c r="N12" i="42"/>
  <c r="P12" i="42" s="1"/>
  <c r="N13" i="42"/>
  <c r="O13" i="42" s="1"/>
  <c r="N14" i="42"/>
  <c r="O14" i="42" s="1"/>
  <c r="N15" i="42"/>
  <c r="O15" i="42" s="1"/>
  <c r="N16" i="42"/>
  <c r="P16" i="42" s="1"/>
  <c r="N17" i="42"/>
  <c r="O17" i="42" s="1"/>
  <c r="N18" i="42"/>
  <c r="O18" i="42" s="1"/>
  <c r="N19" i="42"/>
  <c r="P19" i="42" s="1"/>
  <c r="N20" i="42"/>
  <c r="P20" i="42" s="1"/>
  <c r="O20" i="42"/>
  <c r="O16" i="42"/>
  <c r="O12" i="42"/>
  <c r="O8" i="42"/>
  <c r="AD5" i="42"/>
  <c r="AE5" i="42" s="1"/>
  <c r="AD6" i="42"/>
  <c r="AD7" i="42"/>
  <c r="AD8" i="42"/>
  <c r="AD9" i="42"/>
  <c r="AD10" i="42"/>
  <c r="AD11" i="42"/>
  <c r="AD12" i="42"/>
  <c r="AD13" i="42"/>
  <c r="AD14" i="42"/>
  <c r="AD15" i="42"/>
  <c r="AD16" i="42"/>
  <c r="AD17" i="42"/>
  <c r="AD18" i="42"/>
  <c r="AD19" i="42"/>
  <c r="AD20" i="42"/>
  <c r="N10" i="7"/>
  <c r="J5" i="6"/>
  <c r="L5" i="6" s="1"/>
  <c r="J6" i="6"/>
  <c r="L6" i="6" s="1"/>
  <c r="J7" i="6"/>
  <c r="L7" i="6" s="1"/>
  <c r="J8" i="6"/>
  <c r="L8" i="6" s="1"/>
  <c r="J9" i="6"/>
  <c r="L9" i="6" s="1"/>
  <c r="J10" i="6"/>
  <c r="L10" i="6" s="1"/>
  <c r="J11" i="6"/>
  <c r="L11" i="6" s="1"/>
  <c r="J12" i="6"/>
  <c r="L12" i="6" s="1"/>
  <c r="J13" i="6"/>
  <c r="L13" i="6" s="1"/>
  <c r="J14" i="6"/>
  <c r="L14" i="6" s="1"/>
  <c r="J15" i="6"/>
  <c r="L15" i="6" s="1"/>
  <c r="J16" i="6"/>
  <c r="L16" i="6" s="1"/>
  <c r="J17" i="6"/>
  <c r="L17" i="6" s="1"/>
  <c r="J18" i="6"/>
  <c r="L18" i="6" s="1"/>
  <c r="J19" i="6"/>
  <c r="L19" i="6" s="1"/>
  <c r="J20" i="6"/>
  <c r="L20" i="6" s="1"/>
  <c r="G6" i="5"/>
  <c r="G7" i="5"/>
  <c r="G8" i="5"/>
  <c r="G9" i="5"/>
  <c r="G10" i="5"/>
  <c r="G11" i="5"/>
  <c r="G12" i="5"/>
  <c r="G13" i="5"/>
  <c r="G14" i="5"/>
  <c r="G15" i="5"/>
  <c r="G16" i="5"/>
  <c r="G17" i="5"/>
  <c r="G18" i="5"/>
  <c r="G19" i="5"/>
  <c r="P10" i="42" l="1"/>
  <c r="P14" i="42"/>
  <c r="P6" i="42"/>
  <c r="P18" i="42"/>
  <c r="O11" i="42"/>
  <c r="O19" i="42"/>
  <c r="P7" i="42"/>
  <c r="P15" i="42"/>
  <c r="P5" i="42"/>
  <c r="P9" i="42"/>
  <c r="P13" i="42"/>
  <c r="P17" i="42"/>
  <c r="C7" i="17"/>
  <c r="K7" i="17"/>
  <c r="J7" i="17"/>
  <c r="J7" i="10"/>
  <c r="K7" i="10"/>
  <c r="K11" i="17"/>
  <c r="D19" i="32" l="1"/>
  <c r="D17" i="32"/>
  <c r="D12" i="32"/>
  <c r="D10" i="32"/>
  <c r="D7" i="32"/>
  <c r="D6" i="32"/>
  <c r="D5" i="32"/>
  <c r="D4" i="32"/>
  <c r="K6" i="17" l="1"/>
  <c r="K5" i="17"/>
  <c r="K8" i="10"/>
  <c r="K6" i="10"/>
  <c r="K5" i="10"/>
  <c r="D15" i="8" l="1"/>
  <c r="D10" i="8"/>
  <c r="G16" i="27" l="1"/>
  <c r="B21" i="30" l="1"/>
  <c r="C21" i="30"/>
  <c r="D21" i="30"/>
  <c r="P20" i="40"/>
  <c r="O20" i="40"/>
  <c r="P19" i="40"/>
  <c r="O19" i="40"/>
  <c r="O18" i="40"/>
  <c r="O17" i="40"/>
  <c r="P15" i="40"/>
  <c r="O15" i="40"/>
  <c r="P14" i="40"/>
  <c r="O14" i="40"/>
  <c r="P13" i="40"/>
  <c r="O13" i="40"/>
  <c r="P12" i="40"/>
  <c r="O12" i="40"/>
  <c r="P11" i="40"/>
  <c r="O11" i="40"/>
  <c r="P8" i="40"/>
  <c r="O8" i="40"/>
  <c r="P6" i="40"/>
  <c r="O6" i="40"/>
  <c r="P5" i="40"/>
  <c r="O5" i="40"/>
  <c r="P21" i="40" l="1"/>
  <c r="O21" i="40"/>
  <c r="Q21" i="40" s="1"/>
  <c r="F11" i="28" l="1"/>
  <c r="D6" i="28"/>
  <c r="D7" i="28"/>
  <c r="D8" i="28"/>
  <c r="D9" i="28"/>
  <c r="D10" i="28"/>
  <c r="D11" i="28"/>
  <c r="D12" i="28"/>
  <c r="D13" i="28"/>
  <c r="D14" i="28"/>
  <c r="D15" i="28"/>
  <c r="D16" i="28"/>
  <c r="D17" i="28"/>
  <c r="D18" i="28"/>
  <c r="D19" i="28"/>
  <c r="D20" i="28"/>
  <c r="D5" i="28"/>
  <c r="B18" i="25"/>
  <c r="X5" i="33"/>
  <c r="X6" i="33"/>
  <c r="X8" i="33"/>
  <c r="X9" i="33"/>
  <c r="X11" i="33"/>
  <c r="X12" i="33"/>
  <c r="X13" i="33"/>
  <c r="X14" i="33"/>
  <c r="X15" i="33"/>
  <c r="X16" i="33"/>
  <c r="X17" i="33"/>
  <c r="X18" i="33"/>
  <c r="X19" i="33"/>
  <c r="X20" i="33"/>
  <c r="W21" i="33"/>
  <c r="V21" i="33"/>
  <c r="X21" i="33" s="1"/>
  <c r="U21" i="33" l="1"/>
  <c r="K6" i="11"/>
  <c r="L6" i="34"/>
  <c r="L11" i="34"/>
  <c r="L16" i="34"/>
  <c r="L5" i="34"/>
  <c r="L7" i="11"/>
  <c r="L8" i="11"/>
  <c r="L12" i="11"/>
  <c r="L13" i="11"/>
  <c r="L14" i="11"/>
  <c r="L15" i="11"/>
  <c r="L16" i="11"/>
  <c r="L17" i="11"/>
  <c r="L18" i="11"/>
  <c r="L19" i="11"/>
  <c r="L20" i="11"/>
  <c r="L6" i="11"/>
  <c r="K7" i="11"/>
  <c r="K8" i="11"/>
  <c r="K9" i="11"/>
  <c r="K11" i="11"/>
  <c r="K12" i="11"/>
  <c r="K13" i="11"/>
  <c r="K14" i="11"/>
  <c r="K15" i="11"/>
  <c r="K16" i="11"/>
  <c r="K17" i="11"/>
  <c r="K18" i="11"/>
  <c r="K19" i="11"/>
  <c r="K20" i="11"/>
  <c r="H21" i="17" l="1"/>
  <c r="I21" i="17"/>
  <c r="F21" i="17"/>
  <c r="G21" i="17"/>
  <c r="J6" i="10"/>
  <c r="J8" i="10"/>
  <c r="J9" i="10"/>
  <c r="J10" i="10"/>
  <c r="J11" i="10"/>
  <c r="J12" i="10"/>
  <c r="J13" i="10"/>
  <c r="J14" i="10"/>
  <c r="J15" i="10"/>
  <c r="J16" i="10"/>
  <c r="J17" i="10"/>
  <c r="J18" i="10"/>
  <c r="J19" i="10"/>
  <c r="J20" i="10"/>
  <c r="J5" i="10"/>
  <c r="J21" i="10" l="1"/>
  <c r="C19" i="17"/>
  <c r="C15" i="17"/>
  <c r="C11" i="17"/>
  <c r="C18" i="17"/>
  <c r="C14" i="17"/>
  <c r="C10" i="17"/>
  <c r="C6" i="17"/>
  <c r="C21" i="17"/>
  <c r="C17" i="17"/>
  <c r="C13" i="17"/>
  <c r="C9" i="17"/>
  <c r="C5" i="17"/>
  <c r="C20" i="17"/>
  <c r="C16" i="17"/>
  <c r="C12" i="17"/>
  <c r="C8" i="17"/>
  <c r="M9" i="40"/>
  <c r="J9" i="17"/>
  <c r="G5" i="5" l="1"/>
  <c r="C20" i="5" l="1"/>
  <c r="D20" i="5"/>
  <c r="F20" i="5"/>
  <c r="N10" i="5" l="1"/>
  <c r="N11" i="5"/>
  <c r="N9" i="5"/>
  <c r="H14" i="5"/>
  <c r="H17" i="5"/>
  <c r="H16" i="5"/>
  <c r="H12" i="5"/>
  <c r="H8" i="5"/>
  <c r="H19" i="5"/>
  <c r="H15" i="5"/>
  <c r="H11" i="5"/>
  <c r="H7" i="5"/>
  <c r="H18" i="5"/>
  <c r="H10" i="5"/>
  <c r="H6" i="5"/>
  <c r="H13" i="5"/>
  <c r="H9" i="5"/>
  <c r="H5" i="5"/>
  <c r="M16" i="5"/>
  <c r="J11" i="8"/>
  <c r="G16" i="8"/>
  <c r="H20" i="5" l="1"/>
  <c r="F21" i="11"/>
  <c r="C17" i="24" l="1"/>
  <c r="D19" i="39" l="1"/>
  <c r="C19" i="39"/>
  <c r="E19" i="39" l="1"/>
  <c r="AC5" i="29"/>
  <c r="H21" i="14"/>
  <c r="I21" i="14"/>
  <c r="B21" i="14"/>
  <c r="E21" i="11"/>
  <c r="G21" i="11"/>
  <c r="C20" i="14" l="1"/>
  <c r="C16" i="14"/>
  <c r="C12" i="14"/>
  <c r="C8" i="14"/>
  <c r="C18" i="14"/>
  <c r="C6" i="14"/>
  <c r="C21" i="14"/>
  <c r="C13" i="14"/>
  <c r="C5" i="14"/>
  <c r="C19" i="14"/>
  <c r="C15" i="14"/>
  <c r="C11" i="14"/>
  <c r="C7" i="14"/>
  <c r="C14" i="14"/>
  <c r="C10" i="14"/>
  <c r="C17" i="14"/>
  <c r="C9" i="14"/>
  <c r="L21" i="11"/>
  <c r="Y5" i="29"/>
  <c r="Y6" i="29"/>
  <c r="Y7" i="29"/>
  <c r="Y8" i="29"/>
  <c r="Y9" i="29"/>
  <c r="Y10" i="29"/>
  <c r="Y11" i="29"/>
  <c r="Y12" i="29"/>
  <c r="Y13" i="29"/>
  <c r="Y14" i="29"/>
  <c r="Y15" i="29"/>
  <c r="Y16" i="29"/>
  <c r="Y17" i="29"/>
  <c r="Y18" i="29"/>
  <c r="Y19" i="29"/>
  <c r="Y20" i="29"/>
  <c r="T6" i="29"/>
  <c r="T7" i="29"/>
  <c r="T8" i="29"/>
  <c r="T9" i="29"/>
  <c r="T10" i="29"/>
  <c r="T11" i="29"/>
  <c r="T12" i="29"/>
  <c r="T13" i="29"/>
  <c r="T14" i="29"/>
  <c r="T15" i="29"/>
  <c r="T16" i="29"/>
  <c r="T17" i="29"/>
  <c r="T18" i="29"/>
  <c r="T19" i="29"/>
  <c r="T20" i="29"/>
  <c r="O5" i="29"/>
  <c r="O6" i="29"/>
  <c r="O7" i="29"/>
  <c r="O8" i="29"/>
  <c r="O9" i="29"/>
  <c r="O11" i="29"/>
  <c r="O12" i="29"/>
  <c r="O13" i="29"/>
  <c r="O14" i="29"/>
  <c r="O15" i="29"/>
  <c r="O16" i="29"/>
  <c r="O17" i="29"/>
  <c r="O18" i="29"/>
  <c r="O19" i="29"/>
  <c r="O20" i="29"/>
  <c r="J5" i="29"/>
  <c r="J6" i="29"/>
  <c r="J7" i="29"/>
  <c r="J8" i="29"/>
  <c r="J9" i="29"/>
  <c r="J10" i="29"/>
  <c r="J11" i="29"/>
  <c r="J12" i="29"/>
  <c r="J13" i="29"/>
  <c r="J14" i="29"/>
  <c r="J15" i="29"/>
  <c r="J16" i="29"/>
  <c r="J17" i="29"/>
  <c r="J18" i="29"/>
  <c r="J19" i="29"/>
  <c r="J20" i="29"/>
  <c r="G21" i="29"/>
  <c r="H21" i="29"/>
  <c r="I21" i="29"/>
  <c r="B21" i="29"/>
  <c r="C21" i="29"/>
  <c r="D21" i="29"/>
  <c r="J21" i="29" l="1"/>
  <c r="E21" i="29"/>
  <c r="K5" i="11"/>
  <c r="C19" i="11" l="1"/>
  <c r="C15" i="11"/>
  <c r="C11" i="11"/>
  <c r="C7" i="11"/>
  <c r="C21" i="11"/>
  <c r="C9" i="11"/>
  <c r="C18" i="11"/>
  <c r="C14" i="11"/>
  <c r="C10" i="11"/>
  <c r="C6" i="11"/>
  <c r="C17" i="11"/>
  <c r="C5" i="11"/>
  <c r="C20" i="11"/>
  <c r="C16" i="11"/>
  <c r="C12" i="11"/>
  <c r="C8" i="11"/>
  <c r="C13" i="11"/>
  <c r="J5" i="17"/>
  <c r="J6" i="17"/>
  <c r="J8" i="17"/>
  <c r="J10" i="17"/>
  <c r="J11" i="17"/>
  <c r="J12" i="17"/>
  <c r="J13" i="17"/>
  <c r="J14" i="17"/>
  <c r="J15" i="17"/>
  <c r="J16" i="17"/>
  <c r="J17" i="17"/>
  <c r="J18" i="17"/>
  <c r="J19" i="17"/>
  <c r="J20" i="17"/>
  <c r="J5" i="31"/>
  <c r="J6" i="31"/>
  <c r="J7" i="31"/>
  <c r="J8" i="31"/>
  <c r="J9" i="31"/>
  <c r="J10" i="31"/>
  <c r="J11" i="31"/>
  <c r="J12" i="31"/>
  <c r="J13" i="31"/>
  <c r="J14" i="31"/>
  <c r="J15" i="31"/>
  <c r="J16" i="31"/>
  <c r="J17" i="31"/>
  <c r="J18" i="31"/>
  <c r="J19" i="31"/>
  <c r="J20" i="31"/>
  <c r="F21" i="27"/>
  <c r="G8" i="27"/>
  <c r="G11" i="27"/>
  <c r="G12" i="27"/>
  <c r="G19" i="27"/>
  <c r="G20" i="27"/>
  <c r="G5" i="27"/>
  <c r="G6" i="27"/>
  <c r="G9" i="27"/>
  <c r="G13" i="27"/>
  <c r="G14" i="27"/>
  <c r="G15" i="27"/>
  <c r="G17" i="27"/>
  <c r="G18" i="27"/>
  <c r="B21" i="28"/>
  <c r="C21" i="28"/>
  <c r="L21" i="29"/>
  <c r="M21" i="29"/>
  <c r="N21" i="29"/>
  <c r="Q21" i="29"/>
  <c r="R21" i="29"/>
  <c r="S21" i="29"/>
  <c r="V21" i="29"/>
  <c r="W21" i="29"/>
  <c r="X21" i="29"/>
  <c r="B21" i="34"/>
  <c r="H21" i="34"/>
  <c r="I21" i="34"/>
  <c r="J21" i="34"/>
  <c r="K21" i="34"/>
  <c r="H21" i="11"/>
  <c r="I21" i="11"/>
  <c r="J21" i="11"/>
  <c r="K21" i="10"/>
  <c r="H9" i="28"/>
  <c r="K9" i="10"/>
  <c r="K10" i="10"/>
  <c r="K11" i="10"/>
  <c r="K12" i="10"/>
  <c r="K13" i="10"/>
  <c r="K14" i="10"/>
  <c r="K15" i="10"/>
  <c r="K16" i="10"/>
  <c r="K17" i="10"/>
  <c r="K18" i="10"/>
  <c r="K19" i="10"/>
  <c r="K20" i="10"/>
  <c r="F5" i="34" l="1"/>
  <c r="F20" i="34"/>
  <c r="F16" i="34"/>
  <c r="F12" i="34"/>
  <c r="F8" i="34"/>
  <c r="F19" i="34"/>
  <c r="F15" i="34"/>
  <c r="F11" i="34"/>
  <c r="F7" i="34"/>
  <c r="F18" i="34"/>
  <c r="F14" i="34"/>
  <c r="F10" i="34"/>
  <c r="F6" i="34"/>
  <c r="F9" i="34"/>
  <c r="F17" i="34"/>
  <c r="F13" i="34"/>
  <c r="C7" i="34"/>
  <c r="C20" i="34"/>
  <c r="C16" i="34"/>
  <c r="C12" i="34"/>
  <c r="C8" i="34"/>
  <c r="C19" i="34"/>
  <c r="C15" i="34"/>
  <c r="C11" i="34"/>
  <c r="C6" i="34"/>
  <c r="C18" i="34"/>
  <c r="C14" i="34"/>
  <c r="C10" i="34"/>
  <c r="C5" i="34"/>
  <c r="C21" i="34"/>
  <c r="C17" i="34"/>
  <c r="C13" i="34"/>
  <c r="C9" i="34"/>
  <c r="J21" i="17"/>
  <c r="D21" i="28"/>
  <c r="K21" i="14"/>
  <c r="K21" i="11"/>
  <c r="Y21" i="29"/>
  <c r="O21" i="29"/>
  <c r="T21" i="29"/>
  <c r="L21" i="34"/>
  <c r="K8" i="17"/>
  <c r="K9" i="17"/>
  <c r="K10" i="17"/>
  <c r="K12" i="17"/>
  <c r="K13" i="17"/>
  <c r="K14" i="17"/>
  <c r="K15" i="17"/>
  <c r="K16" i="17"/>
  <c r="K17" i="17"/>
  <c r="K18" i="17"/>
  <c r="K19" i="17"/>
  <c r="K20" i="17"/>
  <c r="F21" i="34" l="1"/>
  <c r="K21" i="17"/>
  <c r="D22" i="41"/>
  <c r="E22" i="41"/>
  <c r="F22" i="41"/>
  <c r="G22" i="41"/>
  <c r="H22" i="41"/>
  <c r="I22" i="41"/>
  <c r="J22" i="41"/>
  <c r="K22" i="41"/>
  <c r="L22" i="41"/>
  <c r="M22" i="41"/>
  <c r="N22" i="41"/>
  <c r="O22" i="41"/>
  <c r="D16" i="41"/>
  <c r="E16" i="41"/>
  <c r="F16" i="41"/>
  <c r="G16" i="41"/>
  <c r="H16" i="41"/>
  <c r="I16" i="41"/>
  <c r="J16" i="41"/>
  <c r="K16" i="41"/>
  <c r="L16" i="41"/>
  <c r="M16" i="41"/>
  <c r="N16" i="41"/>
  <c r="O16" i="41"/>
  <c r="AF17" i="42" l="1"/>
  <c r="AG17" i="42" s="1"/>
  <c r="AH17" i="42" s="1"/>
  <c r="AF18" i="42"/>
  <c r="AG18" i="42" s="1"/>
  <c r="AH18" i="42" s="1"/>
  <c r="AF7" i="42"/>
  <c r="AG7" i="42" s="1"/>
  <c r="AH7" i="42" s="1"/>
  <c r="AF8" i="42"/>
  <c r="AG8" i="42" s="1"/>
  <c r="AH8" i="42" s="1"/>
  <c r="AF9" i="42"/>
  <c r="AG9" i="42" s="1"/>
  <c r="AH9" i="42" s="1"/>
  <c r="AF10" i="42"/>
  <c r="AG10" i="42" s="1"/>
  <c r="AH10" i="42" s="1"/>
  <c r="AF11" i="42"/>
  <c r="AG11" i="42" s="1"/>
  <c r="AH11" i="42" s="1"/>
  <c r="AF12" i="42"/>
  <c r="AG12" i="42" s="1"/>
  <c r="AH12" i="42" s="1"/>
  <c r="AF13" i="42"/>
  <c r="AG13" i="42" s="1"/>
  <c r="AH13" i="42" s="1"/>
  <c r="AF14" i="42"/>
  <c r="AG14" i="42" s="1"/>
  <c r="AH14" i="42" s="1"/>
  <c r="AE13" i="42" l="1"/>
  <c r="AE9" i="42"/>
  <c r="AE17" i="42"/>
  <c r="AE18" i="42"/>
  <c r="AE14" i="42"/>
  <c r="AE10" i="42"/>
  <c r="AE12" i="42"/>
  <c r="AE8" i="42"/>
  <c r="AE11" i="42"/>
  <c r="AE7" i="42"/>
  <c r="N13" i="7"/>
  <c r="N12" i="7"/>
  <c r="N11" i="7"/>
  <c r="N9" i="7"/>
  <c r="N8" i="7"/>
  <c r="N7" i="7"/>
  <c r="K17" i="25" l="1"/>
  <c r="K15" i="25"/>
  <c r="G15" i="28" l="1"/>
  <c r="F15" i="28"/>
  <c r="L15" i="28" s="1"/>
  <c r="D39" i="27" l="1"/>
  <c r="C39" i="27"/>
  <c r="E39" i="27" s="1"/>
  <c r="B12" i="27"/>
  <c r="F12" i="28"/>
  <c r="H12" i="28" s="1"/>
  <c r="G12" i="28"/>
  <c r="L12" i="28" l="1"/>
  <c r="D32" i="27"/>
  <c r="C32" i="27"/>
  <c r="B5" i="27"/>
  <c r="K5" i="25"/>
  <c r="K5" i="33"/>
  <c r="E32" i="27" l="1"/>
  <c r="D40" i="27"/>
  <c r="C40" i="27"/>
  <c r="E40" i="27" l="1"/>
  <c r="D46" i="27"/>
  <c r="C46" i="27"/>
  <c r="D33" i="27"/>
  <c r="C33" i="27"/>
  <c r="B6" i="27"/>
  <c r="K6" i="25"/>
  <c r="K6" i="33"/>
  <c r="E6" i="29"/>
  <c r="B6" i="10" s="1"/>
  <c r="E46" i="27" l="1"/>
  <c r="E33" i="27"/>
  <c r="N11" i="25"/>
  <c r="D38" i="27" l="1"/>
  <c r="C38" i="27"/>
  <c r="B11" i="27"/>
  <c r="K11" i="33"/>
  <c r="E38" i="27" l="1"/>
  <c r="D34" i="27"/>
  <c r="C34" i="27"/>
  <c r="E34" i="27" s="1"/>
  <c r="N7" i="25"/>
  <c r="K7" i="25"/>
  <c r="K7" i="33"/>
  <c r="D41" i="27" l="1"/>
  <c r="C41" i="27"/>
  <c r="G14" i="28"/>
  <c r="N14" i="25"/>
  <c r="K14" i="25"/>
  <c r="D45" i="27"/>
  <c r="C45" i="27"/>
  <c r="E45" i="27" s="1"/>
  <c r="B18" i="27"/>
  <c r="E41" i="27" l="1"/>
  <c r="D37" i="27"/>
  <c r="C37" i="27"/>
  <c r="E37" i="27" s="1"/>
  <c r="C43" i="27" l="1"/>
  <c r="D43" i="27"/>
  <c r="E43" i="27" l="1"/>
  <c r="K16" i="25"/>
  <c r="N16" i="25"/>
  <c r="K16" i="33"/>
  <c r="H16" i="33"/>
  <c r="D35" i="27" l="1"/>
  <c r="C35" i="27"/>
  <c r="E35" i="27" l="1"/>
  <c r="D44" i="27"/>
  <c r="C44" i="27"/>
  <c r="E44" i="27" s="1"/>
  <c r="G19" i="30" l="1"/>
  <c r="F19" i="30"/>
  <c r="G18" i="30"/>
  <c r="F18" i="30"/>
  <c r="G17" i="30"/>
  <c r="F17" i="30"/>
  <c r="G16" i="30"/>
  <c r="F16" i="30"/>
  <c r="G15" i="30"/>
  <c r="F15" i="30"/>
  <c r="H15" i="30" s="1"/>
  <c r="G14" i="30"/>
  <c r="F14" i="30"/>
  <c r="G13" i="30"/>
  <c r="F13" i="30"/>
  <c r="H13" i="30" s="1"/>
  <c r="G12" i="30"/>
  <c r="F12" i="30"/>
  <c r="G11" i="30"/>
  <c r="F11" i="30"/>
  <c r="G10" i="30"/>
  <c r="F10" i="30"/>
  <c r="G9" i="30"/>
  <c r="F9" i="30"/>
  <c r="H9" i="30" s="1"/>
  <c r="G8" i="30"/>
  <c r="F8" i="30"/>
  <c r="G7" i="30"/>
  <c r="F7" i="30"/>
  <c r="G6" i="30"/>
  <c r="F6" i="30"/>
  <c r="Q19" i="25"/>
  <c r="Q18" i="25"/>
  <c r="Q16" i="25"/>
  <c r="Q15" i="25"/>
  <c r="Q14" i="25"/>
  <c r="Q13" i="25"/>
  <c r="Q12" i="25"/>
  <c r="Q11" i="25"/>
  <c r="Q10" i="25"/>
  <c r="Q9" i="25"/>
  <c r="Q8" i="25"/>
  <c r="Q7" i="25"/>
  <c r="Q6" i="25"/>
  <c r="Q5" i="25"/>
  <c r="H19" i="25"/>
  <c r="H18" i="25"/>
  <c r="H17" i="25"/>
  <c r="H16" i="25"/>
  <c r="H15" i="25"/>
  <c r="H14" i="25"/>
  <c r="H13" i="25"/>
  <c r="H12" i="25"/>
  <c r="H11" i="25"/>
  <c r="H10" i="25"/>
  <c r="H9" i="25"/>
  <c r="H8" i="25"/>
  <c r="H7" i="25"/>
  <c r="H6" i="25"/>
  <c r="H5" i="25"/>
  <c r="E19" i="25"/>
  <c r="E17" i="25"/>
  <c r="E16" i="25"/>
  <c r="E15" i="25"/>
  <c r="E14" i="25"/>
  <c r="E13" i="25"/>
  <c r="E12" i="25"/>
  <c r="E11" i="25"/>
  <c r="E10" i="25"/>
  <c r="E9" i="25"/>
  <c r="E8" i="25"/>
  <c r="E6" i="25"/>
  <c r="E5" i="25"/>
  <c r="B19" i="25"/>
  <c r="B17" i="25"/>
  <c r="B16" i="25"/>
  <c r="B15" i="25"/>
  <c r="B14" i="25"/>
  <c r="B13" i="25"/>
  <c r="B12" i="25"/>
  <c r="B11" i="25"/>
  <c r="B10" i="25"/>
  <c r="B9" i="25"/>
  <c r="B8" i="25"/>
  <c r="B6" i="25"/>
  <c r="B5" i="25"/>
  <c r="Q20" i="25"/>
  <c r="H20" i="25"/>
  <c r="E20" i="25"/>
  <c r="B20" i="25"/>
  <c r="S19" i="33"/>
  <c r="S17" i="33"/>
  <c r="S16" i="33"/>
  <c r="S15" i="33"/>
  <c r="S14" i="33"/>
  <c r="S13" i="33"/>
  <c r="S12" i="33"/>
  <c r="S11" i="33"/>
  <c r="S10" i="33"/>
  <c r="S9" i="33"/>
  <c r="S8" i="33"/>
  <c r="S7" i="33"/>
  <c r="S6" i="33"/>
  <c r="S5" i="33"/>
  <c r="E19" i="33"/>
  <c r="E12" i="33"/>
  <c r="E9" i="33"/>
  <c r="B19" i="33"/>
  <c r="B12" i="33"/>
  <c r="B11" i="33"/>
  <c r="B10" i="33"/>
  <c r="B9" i="33"/>
  <c r="S20" i="33"/>
  <c r="E20" i="33"/>
  <c r="B20" i="33"/>
  <c r="B5" i="33"/>
  <c r="B6" i="33"/>
  <c r="B8" i="33"/>
  <c r="B13" i="33"/>
  <c r="B14" i="33"/>
  <c r="B15" i="33"/>
  <c r="B16" i="33"/>
  <c r="B17" i="33"/>
  <c r="B18" i="33"/>
  <c r="C21" i="40" l="1"/>
  <c r="D21" i="40"/>
  <c r="T18" i="25"/>
  <c r="Q20" i="33"/>
  <c r="Q9" i="33"/>
  <c r="T5" i="25"/>
  <c r="Q12" i="33"/>
  <c r="T6" i="25"/>
  <c r="E21" i="25"/>
  <c r="F7" i="25" s="1"/>
  <c r="F5" i="30"/>
  <c r="B21" i="25"/>
  <c r="C12" i="25" s="1"/>
  <c r="G5" i="30"/>
  <c r="H21" i="25"/>
  <c r="H14" i="30"/>
  <c r="H16" i="30"/>
  <c r="H18" i="30"/>
  <c r="Q21" i="25"/>
  <c r="H6" i="30"/>
  <c r="H8" i="30"/>
  <c r="H10" i="30"/>
  <c r="H12" i="30"/>
  <c r="B21" i="33"/>
  <c r="C9" i="33" s="1"/>
  <c r="S21" i="33"/>
  <c r="E24" i="2"/>
  <c r="E25" i="2" s="1"/>
  <c r="E26" i="2" s="1"/>
  <c r="H5" i="30" l="1"/>
  <c r="C14" i="25"/>
  <c r="R21" i="25"/>
  <c r="R17" i="25"/>
  <c r="R13" i="25"/>
  <c r="R9" i="25"/>
  <c r="R5" i="25"/>
  <c r="R20" i="25"/>
  <c r="R16" i="25"/>
  <c r="R12" i="25"/>
  <c r="R8" i="25"/>
  <c r="R19" i="25"/>
  <c r="R15" i="25"/>
  <c r="R11" i="25"/>
  <c r="R18" i="25"/>
  <c r="R14" i="25"/>
  <c r="R10" i="25"/>
  <c r="R6" i="25"/>
  <c r="R7" i="25"/>
  <c r="I15" i="25"/>
  <c r="I18" i="25"/>
  <c r="I14" i="25"/>
  <c r="I10" i="25"/>
  <c r="I6" i="25"/>
  <c r="I21" i="25"/>
  <c r="I17" i="25"/>
  <c r="I13" i="25"/>
  <c r="I9" i="25"/>
  <c r="I5" i="25"/>
  <c r="I20" i="25"/>
  <c r="I16" i="25"/>
  <c r="I12" i="25"/>
  <c r="I8" i="25"/>
  <c r="I19" i="25"/>
  <c r="I11" i="25"/>
  <c r="I7" i="25"/>
  <c r="C10" i="33"/>
  <c r="C15" i="25"/>
  <c r="C10" i="25"/>
  <c r="C9" i="25"/>
  <c r="C11" i="33"/>
  <c r="C16" i="25"/>
  <c r="C7" i="25"/>
  <c r="C21" i="33"/>
  <c r="C12" i="33"/>
  <c r="C14" i="33"/>
  <c r="C15" i="33"/>
  <c r="C13" i="25"/>
  <c r="C20" i="25"/>
  <c r="C8" i="33"/>
  <c r="C6" i="25"/>
  <c r="C6" i="33"/>
  <c r="C18" i="33"/>
  <c r="C11" i="25"/>
  <c r="C5" i="33"/>
  <c r="C5" i="25"/>
  <c r="C20" i="33"/>
  <c r="C16" i="33"/>
  <c r="C13" i="33"/>
  <c r="C21" i="25"/>
  <c r="C18" i="25"/>
  <c r="C19" i="25"/>
  <c r="C19" i="33"/>
  <c r="C17" i="25"/>
  <c r="C7" i="33"/>
  <c r="C17" i="33"/>
  <c r="C8" i="25"/>
  <c r="F18" i="25"/>
  <c r="F14" i="25"/>
  <c r="F10" i="25"/>
  <c r="F6" i="25"/>
  <c r="F19" i="25"/>
  <c r="F21" i="25"/>
  <c r="F17" i="25"/>
  <c r="F13" i="25"/>
  <c r="F9" i="25"/>
  <c r="F5" i="25"/>
  <c r="F11" i="25"/>
  <c r="F20" i="25"/>
  <c r="F16" i="25"/>
  <c r="F12" i="25"/>
  <c r="F8" i="25"/>
  <c r="F15" i="25"/>
  <c r="D17" i="24"/>
  <c r="E17" i="24" l="1"/>
  <c r="N6" i="7"/>
  <c r="AE5" i="4" l="1"/>
  <c r="AE6" i="4"/>
  <c r="AE7" i="4"/>
  <c r="AE8" i="4"/>
  <c r="AE9" i="4"/>
  <c r="AE10" i="4"/>
  <c r="AE11" i="4"/>
  <c r="AE12" i="4"/>
  <c r="AE13" i="4"/>
  <c r="AE14" i="4"/>
  <c r="AF6" i="42" l="1"/>
  <c r="AG6" i="42" s="1"/>
  <c r="AH6" i="42" s="1"/>
  <c r="AE6" i="42"/>
  <c r="AF20" i="42"/>
  <c r="AG20" i="42" s="1"/>
  <c r="AH20" i="42" s="1"/>
  <c r="AE20" i="42"/>
  <c r="AF15" i="42"/>
  <c r="AG15" i="42" s="1"/>
  <c r="AH15" i="42" s="1"/>
  <c r="AE15" i="42"/>
  <c r="AF16" i="42"/>
  <c r="AG16" i="42" s="1"/>
  <c r="AH16" i="42" s="1"/>
  <c r="AE16" i="42"/>
  <c r="AF5" i="42"/>
  <c r="AG5" i="42" s="1"/>
  <c r="AH5" i="42" s="1"/>
  <c r="AF19" i="42"/>
  <c r="AG19" i="42" s="1"/>
  <c r="AH19" i="42" s="1"/>
  <c r="AE19" i="42"/>
  <c r="H13" i="2"/>
  <c r="I13" i="2" s="1"/>
  <c r="M15" i="40" l="1"/>
  <c r="H15" i="27"/>
  <c r="F6" i="28"/>
  <c r="T15" i="25"/>
  <c r="AC20" i="29"/>
  <c r="AB20" i="29"/>
  <c r="AA20" i="29"/>
  <c r="AC19" i="29"/>
  <c r="AB19" i="29"/>
  <c r="AA19" i="29"/>
  <c r="AC18" i="29"/>
  <c r="AB18" i="29"/>
  <c r="AA18" i="29"/>
  <c r="AC17" i="29"/>
  <c r="AB17" i="29"/>
  <c r="AA17" i="29"/>
  <c r="AC16" i="29"/>
  <c r="AB16" i="29"/>
  <c r="AA16" i="29"/>
  <c r="AC15" i="29"/>
  <c r="AB15" i="29"/>
  <c r="AA15" i="29"/>
  <c r="AC14" i="29"/>
  <c r="AB14" i="29"/>
  <c r="AA14" i="29"/>
  <c r="AC13" i="29"/>
  <c r="AB13" i="29"/>
  <c r="AA13" i="29"/>
  <c r="AC12" i="29"/>
  <c r="AB12" i="29"/>
  <c r="AA12" i="29"/>
  <c r="AC11" i="29"/>
  <c r="AB11" i="29"/>
  <c r="AA11" i="29"/>
  <c r="AC10" i="29"/>
  <c r="AB10" i="29"/>
  <c r="AA10" i="29"/>
  <c r="AC9" i="29"/>
  <c r="AB9" i="29"/>
  <c r="AA9" i="29"/>
  <c r="AC8" i="29"/>
  <c r="AB8" i="29"/>
  <c r="AA8" i="29"/>
  <c r="AC7" i="29"/>
  <c r="AB7" i="29"/>
  <c r="AA7" i="29"/>
  <c r="AC6" i="29"/>
  <c r="AB6" i="29"/>
  <c r="AA6" i="29"/>
  <c r="AB5" i="29"/>
  <c r="AB21" i="29" s="1"/>
  <c r="AA5" i="29"/>
  <c r="J15" i="14"/>
  <c r="K15" i="14"/>
  <c r="AA21" i="29" l="1"/>
  <c r="AC21" i="29"/>
  <c r="AD10" i="29"/>
  <c r="AD18" i="29"/>
  <c r="AD14" i="29"/>
  <c r="AD6" i="29"/>
  <c r="AD5" i="29"/>
  <c r="AD9" i="29"/>
  <c r="AD13" i="29"/>
  <c r="AD17" i="29"/>
  <c r="AD7" i="29"/>
  <c r="AD11" i="29"/>
  <c r="AD15" i="29"/>
  <c r="AD19" i="29"/>
  <c r="AD8" i="29"/>
  <c r="AD12" i="29"/>
  <c r="AD16" i="29"/>
  <c r="AD20" i="29"/>
  <c r="B15" i="31"/>
  <c r="C14" i="26"/>
  <c r="E5" i="33"/>
  <c r="Q5" i="33" s="1"/>
  <c r="E6" i="33"/>
  <c r="Q6" i="33" s="1"/>
  <c r="E8" i="33"/>
  <c r="Q8" i="33" s="1"/>
  <c r="E10" i="33"/>
  <c r="Q10" i="33" s="1"/>
  <c r="E11" i="33"/>
  <c r="Q11" i="33" s="1"/>
  <c r="E13" i="33"/>
  <c r="Q13" i="33" s="1"/>
  <c r="E14" i="33"/>
  <c r="E15" i="33"/>
  <c r="Q15" i="33" s="1"/>
  <c r="E16" i="33"/>
  <c r="E17" i="33"/>
  <c r="E18" i="33"/>
  <c r="E15" i="29"/>
  <c r="B15" i="10" s="1"/>
  <c r="AD21" i="29" l="1"/>
  <c r="E21" i="33"/>
  <c r="E14" i="26"/>
  <c r="G14" i="26" s="1"/>
  <c r="F21" i="33" l="1"/>
  <c r="F17" i="33"/>
  <c r="F13" i="33"/>
  <c r="F9" i="33"/>
  <c r="F5" i="33"/>
  <c r="F20" i="33"/>
  <c r="F16" i="33"/>
  <c r="F8" i="33"/>
  <c r="F19" i="33"/>
  <c r="F15" i="33"/>
  <c r="F11" i="33"/>
  <c r="F7" i="33"/>
  <c r="F6" i="33"/>
  <c r="F12" i="33"/>
  <c r="F18" i="33"/>
  <c r="F14" i="33"/>
  <c r="F10" i="33"/>
  <c r="B14" i="26"/>
  <c r="B10" i="27"/>
  <c r="G10" i="28"/>
  <c r="F10" i="28"/>
  <c r="T10" i="25"/>
  <c r="E10" i="29"/>
  <c r="H10" i="28" l="1"/>
  <c r="L10" i="28" s="1"/>
  <c r="B10" i="31"/>
  <c r="B9" i="26"/>
  <c r="C9" i="26"/>
  <c r="E9" i="26" s="1"/>
  <c r="H6" i="27"/>
  <c r="G6" i="28"/>
  <c r="H6" i="28" s="1"/>
  <c r="C5" i="26" l="1"/>
  <c r="E5" i="26" s="1"/>
  <c r="G5" i="26" s="1"/>
  <c r="B6" i="31"/>
  <c r="B5" i="26"/>
  <c r="G9" i="26"/>
  <c r="L6" i="28"/>
  <c r="H18" i="27"/>
  <c r="G18" i="28"/>
  <c r="F18" i="28"/>
  <c r="K18" i="14"/>
  <c r="J18" i="14"/>
  <c r="N18" i="33" s="1"/>
  <c r="Q18" i="33" s="1"/>
  <c r="E18" i="29"/>
  <c r="H18" i="28" l="1"/>
  <c r="L18" i="28"/>
  <c r="C17" i="26"/>
  <c r="B17" i="26"/>
  <c r="H12" i="27"/>
  <c r="T12" i="25"/>
  <c r="K12" i="14"/>
  <c r="J12" i="14"/>
  <c r="E12" i="29"/>
  <c r="B12" i="10" s="1"/>
  <c r="E17" i="26" l="1"/>
  <c r="G17" i="26" s="1"/>
  <c r="B11" i="26"/>
  <c r="C11" i="26"/>
  <c r="B12" i="31" s="1"/>
  <c r="E11" i="26" l="1"/>
  <c r="M11" i="40"/>
  <c r="H11" i="27"/>
  <c r="G11" i="28"/>
  <c r="T11" i="25"/>
  <c r="E11" i="29"/>
  <c r="L11" i="28" l="1"/>
  <c r="C10" i="26"/>
  <c r="B11" i="31" s="1"/>
  <c r="G16" i="28"/>
  <c r="F16" i="28"/>
  <c r="B16" i="27"/>
  <c r="H16" i="27" s="1"/>
  <c r="T16" i="25"/>
  <c r="K16" i="14"/>
  <c r="J16" i="14"/>
  <c r="N16" i="33" s="1"/>
  <c r="Q16" i="33" s="1"/>
  <c r="T14" i="25"/>
  <c r="E16" i="29"/>
  <c r="B16" i="10" s="1"/>
  <c r="F14" i="28"/>
  <c r="H14" i="28" s="1"/>
  <c r="J14" i="14"/>
  <c r="N14" i="33" s="1"/>
  <c r="Q14" i="33" s="1"/>
  <c r="E14" i="29"/>
  <c r="B10" i="26" l="1"/>
  <c r="C15" i="26"/>
  <c r="L14" i="28"/>
  <c r="B14" i="27"/>
  <c r="H14" i="27" s="1"/>
  <c r="L16" i="28"/>
  <c r="B15" i="26"/>
  <c r="B16" i="31"/>
  <c r="E10" i="26"/>
  <c r="G10" i="26" s="1"/>
  <c r="C13" i="26"/>
  <c r="E13" i="26" s="1"/>
  <c r="B14" i="31"/>
  <c r="G13" i="28"/>
  <c r="F13" i="28"/>
  <c r="H13" i="28" s="1"/>
  <c r="B13" i="27"/>
  <c r="T13" i="25"/>
  <c r="J13" i="14"/>
  <c r="E13" i="29"/>
  <c r="B13" i="10" s="1"/>
  <c r="G7" i="28"/>
  <c r="F7" i="28"/>
  <c r="T7" i="25"/>
  <c r="K7" i="14"/>
  <c r="J7" i="14"/>
  <c r="E7" i="29"/>
  <c r="E15" i="26" l="1"/>
  <c r="G15" i="26" s="1"/>
  <c r="B13" i="26"/>
  <c r="H7" i="28"/>
  <c r="J21" i="14"/>
  <c r="N7" i="33"/>
  <c r="L13" i="28"/>
  <c r="C12" i="26"/>
  <c r="E12" i="26" s="1"/>
  <c r="G12" i="26" s="1"/>
  <c r="H13" i="27"/>
  <c r="B7" i="27"/>
  <c r="B7" i="31"/>
  <c r="C6" i="26"/>
  <c r="B12" i="26"/>
  <c r="G13" i="26"/>
  <c r="B13" i="31"/>
  <c r="M5" i="40"/>
  <c r="G5" i="28"/>
  <c r="F5" i="28"/>
  <c r="E5" i="29"/>
  <c r="L7" i="28" l="1"/>
  <c r="Q7" i="33"/>
  <c r="L5" i="28"/>
  <c r="C4" i="26"/>
  <c r="H5" i="27"/>
  <c r="E6" i="26"/>
  <c r="G6" i="26" s="1"/>
  <c r="B4" i="26"/>
  <c r="B5" i="31"/>
  <c r="M8" i="40"/>
  <c r="G8" i="28"/>
  <c r="F8" i="28"/>
  <c r="L8" i="28" s="1"/>
  <c r="T8" i="25"/>
  <c r="E8" i="29"/>
  <c r="B6" i="26" l="1"/>
  <c r="E4" i="26"/>
  <c r="G4" i="26" s="1"/>
  <c r="C7" i="26"/>
  <c r="E7" i="26" s="1"/>
  <c r="G7" i="26" s="1"/>
  <c r="B8" i="27"/>
  <c r="H8" i="27" s="1"/>
  <c r="B8" i="31"/>
  <c r="B7" i="26"/>
  <c r="G20" i="30"/>
  <c r="F20" i="30"/>
  <c r="G20" i="28"/>
  <c r="F20" i="28"/>
  <c r="T20" i="25"/>
  <c r="E20" i="29"/>
  <c r="B20" i="10" s="1"/>
  <c r="M20" i="40" l="1"/>
  <c r="H20" i="30"/>
  <c r="B20" i="27"/>
  <c r="C19" i="26"/>
  <c r="B19" i="26"/>
  <c r="K9" i="40"/>
  <c r="B9" i="27"/>
  <c r="L9" i="28"/>
  <c r="T9" i="25"/>
  <c r="C8" i="26" s="1"/>
  <c r="B8" i="26"/>
  <c r="E9" i="29"/>
  <c r="B9" i="10" s="1"/>
  <c r="L20" i="28" l="1"/>
  <c r="E8" i="26"/>
  <c r="H9" i="27"/>
  <c r="H20" i="27"/>
  <c r="B9" i="31"/>
  <c r="B20" i="31"/>
  <c r="E19" i="26"/>
  <c r="G19" i="26" s="1"/>
  <c r="B47" i="27" s="1"/>
  <c r="G17" i="28"/>
  <c r="F17" i="28"/>
  <c r="H17" i="28" s="1"/>
  <c r="N17" i="25"/>
  <c r="N17" i="33"/>
  <c r="K17" i="33"/>
  <c r="E17" i="29"/>
  <c r="G19" i="28"/>
  <c r="F19" i="28"/>
  <c r="N19" i="25"/>
  <c r="K19" i="25"/>
  <c r="K21" i="25" s="1"/>
  <c r="N19" i="33"/>
  <c r="K19" i="33"/>
  <c r="E19" i="29"/>
  <c r="B19" i="10" s="1"/>
  <c r="F17" i="29" l="1"/>
  <c r="F21" i="29" s="1"/>
  <c r="B17" i="10"/>
  <c r="B21" i="10" s="1"/>
  <c r="Q19" i="33"/>
  <c r="H19" i="28"/>
  <c r="Q17" i="33"/>
  <c r="L20" i="25"/>
  <c r="L16" i="25"/>
  <c r="L12" i="25"/>
  <c r="L8" i="25"/>
  <c r="L19" i="25"/>
  <c r="L15" i="25"/>
  <c r="L11" i="25"/>
  <c r="L18" i="25"/>
  <c r="L14" i="25"/>
  <c r="L10" i="25"/>
  <c r="L6" i="25"/>
  <c r="L21" i="25"/>
  <c r="L17" i="25"/>
  <c r="L13" i="25"/>
  <c r="L9" i="25"/>
  <c r="L5" i="25"/>
  <c r="L7" i="25"/>
  <c r="N21" i="25"/>
  <c r="F21" i="28"/>
  <c r="J21" i="28" s="1"/>
  <c r="K21" i="28"/>
  <c r="K21" i="33"/>
  <c r="H21" i="33"/>
  <c r="N21" i="33"/>
  <c r="G8" i="26"/>
  <c r="C47" i="27"/>
  <c r="D47" i="27"/>
  <c r="L19" i="28"/>
  <c r="B19" i="27"/>
  <c r="H19" i="27" s="1"/>
  <c r="L17" i="28"/>
  <c r="B17" i="27"/>
  <c r="T17" i="25"/>
  <c r="T19" i="25"/>
  <c r="C24" i="3"/>
  <c r="C25" i="3" s="1"/>
  <c r="E24" i="3"/>
  <c r="E25" i="3" s="1"/>
  <c r="F24" i="3"/>
  <c r="F25" i="3" s="1"/>
  <c r="G24" i="3"/>
  <c r="G25" i="3" s="1"/>
  <c r="H24" i="3"/>
  <c r="H25" i="3" s="1"/>
  <c r="I24" i="3"/>
  <c r="I25" i="3" s="1"/>
  <c r="J24" i="3"/>
  <c r="J25" i="3" s="1"/>
  <c r="K24" i="3"/>
  <c r="K25" i="3" s="1"/>
  <c r="L24" i="3"/>
  <c r="L25" i="3" s="1"/>
  <c r="M24" i="3"/>
  <c r="M25" i="3" s="1"/>
  <c r="N24" i="3"/>
  <c r="N25" i="3" s="1"/>
  <c r="D24" i="3"/>
  <c r="D25" i="3" s="1"/>
  <c r="E21" i="40" l="1"/>
  <c r="B21" i="27"/>
  <c r="E47" i="27"/>
  <c r="O18" i="33"/>
  <c r="O14" i="33"/>
  <c r="O10" i="33"/>
  <c r="O6" i="33"/>
  <c r="O9" i="33"/>
  <c r="O15" i="33"/>
  <c r="O11" i="33"/>
  <c r="O21" i="33"/>
  <c r="O17" i="33"/>
  <c r="O13" i="33"/>
  <c r="O5" i="33"/>
  <c r="O20" i="33"/>
  <c r="O16" i="33"/>
  <c r="O12" i="33"/>
  <c r="O8" i="33"/>
  <c r="O19" i="33"/>
  <c r="O7" i="33"/>
  <c r="O21" i="25"/>
  <c r="O17" i="25"/>
  <c r="O13" i="25"/>
  <c r="O9" i="25"/>
  <c r="O5" i="25"/>
  <c r="O10" i="25"/>
  <c r="O20" i="25"/>
  <c r="O16" i="25"/>
  <c r="O12" i="25"/>
  <c r="O8" i="25"/>
  <c r="O14" i="25"/>
  <c r="O19" i="25"/>
  <c r="O15" i="25"/>
  <c r="O11" i="25"/>
  <c r="O18" i="25"/>
  <c r="O6" i="25"/>
  <c r="O7" i="25"/>
  <c r="L19" i="33"/>
  <c r="L15" i="33"/>
  <c r="L11" i="33"/>
  <c r="L18" i="33"/>
  <c r="L14" i="33"/>
  <c r="L10" i="33"/>
  <c r="L6" i="33"/>
  <c r="L21" i="33"/>
  <c r="L17" i="33"/>
  <c r="L13" i="33"/>
  <c r="L9" i="33"/>
  <c r="L5" i="33"/>
  <c r="L20" i="33"/>
  <c r="L16" i="33"/>
  <c r="L12" i="33"/>
  <c r="L8" i="33"/>
  <c r="L7" i="33"/>
  <c r="C11" i="10"/>
  <c r="C18" i="10"/>
  <c r="C14" i="10"/>
  <c r="C10" i="10"/>
  <c r="C5" i="10"/>
  <c r="C8" i="10"/>
  <c r="C17" i="10"/>
  <c r="C12" i="10"/>
  <c r="C15" i="10"/>
  <c r="C9" i="10"/>
  <c r="C6" i="10"/>
  <c r="C16" i="10"/>
  <c r="C13" i="10"/>
  <c r="C20" i="10"/>
  <c r="C19" i="10"/>
  <c r="I20" i="33"/>
  <c r="I12" i="33"/>
  <c r="I8" i="33"/>
  <c r="I19" i="33"/>
  <c r="I15" i="33"/>
  <c r="I11" i="33"/>
  <c r="I7" i="33"/>
  <c r="I18" i="33"/>
  <c r="I14" i="33"/>
  <c r="I10" i="33"/>
  <c r="I6" i="33"/>
  <c r="I21" i="33"/>
  <c r="I17" i="33"/>
  <c r="I13" i="33"/>
  <c r="I9" i="33"/>
  <c r="I5" i="33"/>
  <c r="I16" i="33"/>
  <c r="Q21" i="33"/>
  <c r="L21" i="28"/>
  <c r="T21" i="25"/>
  <c r="H17" i="27"/>
  <c r="H21" i="27"/>
  <c r="B16" i="26"/>
  <c r="B19" i="31"/>
  <c r="C18" i="26"/>
  <c r="B17" i="31"/>
  <c r="C16" i="26"/>
  <c r="O25" i="3"/>
  <c r="B18" i="26"/>
  <c r="L20" i="3"/>
  <c r="L21" i="3" s="1"/>
  <c r="L22" i="3" s="1"/>
  <c r="B20" i="26" l="1"/>
  <c r="R6" i="33"/>
  <c r="R5" i="33"/>
  <c r="R15" i="33"/>
  <c r="R14" i="33"/>
  <c r="R7" i="33"/>
  <c r="R18" i="33"/>
  <c r="R8" i="33"/>
  <c r="R16" i="33"/>
  <c r="R12" i="33"/>
  <c r="R10" i="33"/>
  <c r="R11" i="33"/>
  <c r="R19" i="33"/>
  <c r="R9" i="33"/>
  <c r="R13" i="33"/>
  <c r="R17" i="33"/>
  <c r="R21" i="33"/>
  <c r="R20" i="33"/>
  <c r="U21" i="25"/>
  <c r="U17" i="25"/>
  <c r="U13" i="25"/>
  <c r="U9" i="25"/>
  <c r="U5" i="25"/>
  <c r="U10" i="25"/>
  <c r="U20" i="25"/>
  <c r="U16" i="25"/>
  <c r="U12" i="25"/>
  <c r="U8" i="25"/>
  <c r="U14" i="25"/>
  <c r="U19" i="25"/>
  <c r="U15" i="25"/>
  <c r="U11" i="25"/>
  <c r="U18" i="25"/>
  <c r="U6" i="25"/>
  <c r="U7" i="25"/>
  <c r="C20" i="26"/>
  <c r="B21" i="31"/>
  <c r="E16" i="26"/>
  <c r="E18" i="26"/>
  <c r="G18" i="26" s="1"/>
  <c r="I21" i="31" l="1"/>
  <c r="D20" i="26"/>
  <c r="G21" i="31"/>
  <c r="H21" i="31"/>
  <c r="G16" i="26"/>
  <c r="J21" i="31" l="1"/>
  <c r="H12" i="2" l="1"/>
  <c r="I12" i="2" s="1"/>
  <c r="AF14" i="3"/>
  <c r="AG11" i="3" l="1"/>
  <c r="AF10" i="3" l="1"/>
  <c r="AG10" i="3" l="1"/>
  <c r="AF9" i="3"/>
  <c r="AG9" i="3" l="1"/>
  <c r="B48" i="28" l="1"/>
  <c r="C48" i="28"/>
  <c r="D48" i="28"/>
  <c r="M4" i="26" l="1"/>
  <c r="M21" i="40" l="1"/>
  <c r="H11" i="2" l="1"/>
  <c r="I11" i="2" s="1"/>
  <c r="E11" i="2" s="1"/>
  <c r="AE5" i="3" l="1"/>
  <c r="AF5" i="3" s="1"/>
  <c r="I51" i="7" l="1"/>
  <c r="H51" i="7"/>
  <c r="G51" i="7"/>
  <c r="F51" i="7"/>
  <c r="E51" i="7"/>
  <c r="D51" i="7"/>
  <c r="C51" i="7"/>
  <c r="B51" i="7"/>
  <c r="H10" i="8" l="1"/>
  <c r="H10" i="2" l="1"/>
  <c r="AF5" i="4" l="1"/>
  <c r="AG5" i="4" s="1"/>
  <c r="AH5" i="4" s="1"/>
  <c r="AF6" i="4"/>
  <c r="AG6" i="4" s="1"/>
  <c r="AH6" i="4" s="1"/>
  <c r="AF7" i="4"/>
  <c r="AG7" i="4" s="1"/>
  <c r="AH7" i="4" s="1"/>
  <c r="AF8" i="4"/>
  <c r="AG8" i="4" s="1"/>
  <c r="AH8" i="4" s="1"/>
  <c r="AF9" i="4"/>
  <c r="AG9" i="4" s="1"/>
  <c r="AH9" i="4" s="1"/>
  <c r="AF10" i="4"/>
  <c r="AG10" i="4" s="1"/>
  <c r="AH10" i="4" s="1"/>
  <c r="AF11" i="4"/>
  <c r="AG11" i="4" s="1"/>
  <c r="AH11" i="4" s="1"/>
  <c r="AF12" i="4"/>
  <c r="AG12" i="4" s="1"/>
  <c r="AH12" i="4" s="1"/>
  <c r="AF13" i="4"/>
  <c r="AG13" i="4" s="1"/>
  <c r="AH13" i="4" s="1"/>
  <c r="AF14" i="4"/>
  <c r="AG14" i="4" s="1"/>
  <c r="AH14" i="4" s="1"/>
  <c r="I10" i="2"/>
  <c r="E10" i="2" s="1"/>
  <c r="K23" i="4" l="1"/>
  <c r="AF8" i="3"/>
  <c r="AF6" i="3"/>
  <c r="AF7" i="3"/>
  <c r="AK6" i="25" l="1"/>
  <c r="AK7" i="25"/>
  <c r="AK8" i="25"/>
  <c r="AK9" i="25"/>
  <c r="AK10" i="25"/>
  <c r="AK11" i="25"/>
  <c r="AK12" i="25"/>
  <c r="AK13" i="25"/>
  <c r="AK14" i="25"/>
  <c r="AK15" i="25"/>
  <c r="AK16" i="25"/>
  <c r="AK17" i="25"/>
  <c r="AK18" i="25"/>
  <c r="AK19" i="25"/>
  <c r="AK20" i="25"/>
  <c r="AK5" i="25"/>
  <c r="H8" i="2" l="1"/>
  <c r="H9" i="2"/>
  <c r="I9" i="2" s="1"/>
  <c r="E9" i="2" s="1"/>
  <c r="G23" i="4"/>
  <c r="AG23" i="4" l="1"/>
  <c r="AH23" i="4" s="1"/>
  <c r="AG21" i="4"/>
  <c r="AH21" i="4" s="1"/>
  <c r="AG19" i="4"/>
  <c r="AH19" i="4" s="1"/>
  <c r="O49" i="4" l="1"/>
  <c r="N49" i="4"/>
  <c r="M49" i="4"/>
  <c r="L49" i="4"/>
  <c r="K49" i="4"/>
  <c r="J49" i="4"/>
  <c r="I49" i="4"/>
  <c r="H49" i="4"/>
  <c r="G49" i="4"/>
  <c r="F49" i="4"/>
  <c r="E49" i="4"/>
  <c r="D49" i="4"/>
  <c r="C49" i="4"/>
  <c r="O47" i="4"/>
  <c r="N47" i="4"/>
  <c r="M47" i="4"/>
  <c r="L47" i="4"/>
  <c r="K47" i="4"/>
  <c r="J47" i="4"/>
  <c r="I47" i="4"/>
  <c r="H47" i="4"/>
  <c r="G47" i="4"/>
  <c r="F47" i="4"/>
  <c r="E47" i="4"/>
  <c r="D47" i="4"/>
  <c r="C47" i="4"/>
  <c r="O45" i="4"/>
  <c r="N45" i="4"/>
  <c r="M45" i="4"/>
  <c r="L45" i="4"/>
  <c r="K45" i="4"/>
  <c r="J45" i="4"/>
  <c r="I45" i="4"/>
  <c r="H45" i="4"/>
  <c r="G45" i="4"/>
  <c r="F45" i="4"/>
  <c r="E45" i="4"/>
  <c r="D45" i="4"/>
  <c r="C45" i="4"/>
  <c r="O43" i="4"/>
  <c r="N43" i="4"/>
  <c r="M43" i="4"/>
  <c r="L43" i="4"/>
  <c r="K43" i="4"/>
  <c r="J43" i="4"/>
  <c r="I43" i="4"/>
  <c r="H43" i="4"/>
  <c r="G43" i="4"/>
  <c r="F43" i="4"/>
  <c r="E43" i="4"/>
  <c r="D43" i="4"/>
  <c r="C43" i="4"/>
  <c r="O41" i="4"/>
  <c r="N41" i="4"/>
  <c r="M41" i="4"/>
  <c r="L41" i="4"/>
  <c r="K41" i="4"/>
  <c r="J41" i="4"/>
  <c r="I41" i="4"/>
  <c r="H41" i="4"/>
  <c r="G41" i="4"/>
  <c r="F41" i="4"/>
  <c r="E41" i="4"/>
  <c r="D41" i="4"/>
  <c r="C41" i="4"/>
  <c r="O39" i="4"/>
  <c r="N39" i="4"/>
  <c r="M39" i="4"/>
  <c r="L39" i="4"/>
  <c r="K39" i="4"/>
  <c r="J39" i="4"/>
  <c r="I39" i="4"/>
  <c r="H39" i="4"/>
  <c r="G39" i="4"/>
  <c r="F39" i="4"/>
  <c r="E39" i="4"/>
  <c r="D39" i="4"/>
  <c r="C39" i="4"/>
  <c r="O37" i="4"/>
  <c r="N37" i="4"/>
  <c r="M37" i="4"/>
  <c r="L37" i="4"/>
  <c r="K37" i="4"/>
  <c r="J37" i="4"/>
  <c r="I37" i="4"/>
  <c r="H37" i="4"/>
  <c r="G37" i="4"/>
  <c r="F37" i="4"/>
  <c r="E37" i="4"/>
  <c r="D37" i="4"/>
  <c r="C37" i="4"/>
  <c r="D35" i="4"/>
  <c r="E35" i="4"/>
  <c r="F35" i="4"/>
  <c r="G35" i="4"/>
  <c r="H35" i="4"/>
  <c r="I35" i="4"/>
  <c r="J35" i="4"/>
  <c r="K35" i="4"/>
  <c r="L35" i="4"/>
  <c r="M35" i="4"/>
  <c r="N35" i="4"/>
  <c r="O35" i="4"/>
  <c r="C35" i="4"/>
  <c r="O33" i="4"/>
  <c r="N33" i="4"/>
  <c r="M33" i="4"/>
  <c r="L33" i="4"/>
  <c r="K33" i="4"/>
  <c r="J33" i="4"/>
  <c r="I33" i="4"/>
  <c r="H33" i="4"/>
  <c r="G33" i="4"/>
  <c r="F33" i="4"/>
  <c r="E33" i="4"/>
  <c r="D33" i="4"/>
  <c r="C33" i="4"/>
  <c r="D31" i="4"/>
  <c r="E31" i="4"/>
  <c r="F31" i="4"/>
  <c r="G31" i="4"/>
  <c r="H31" i="4"/>
  <c r="I31" i="4"/>
  <c r="J31" i="4"/>
  <c r="K31" i="4"/>
  <c r="L31" i="4"/>
  <c r="M31" i="4"/>
  <c r="N31" i="4"/>
  <c r="O31" i="4"/>
  <c r="C31" i="4"/>
  <c r="P39" i="4" l="1"/>
  <c r="Q39" i="4" s="1"/>
  <c r="R39" i="4" s="1"/>
  <c r="P45" i="4"/>
  <c r="Q45" i="4" s="1"/>
  <c r="R45" i="4" s="1"/>
  <c r="P35" i="4"/>
  <c r="Q35" i="4" s="1"/>
  <c r="R35" i="4" s="1"/>
  <c r="P37" i="4"/>
  <c r="Q37" i="4" s="1"/>
  <c r="R37" i="4" s="1"/>
  <c r="P31" i="4"/>
  <c r="Q31" i="4" s="1"/>
  <c r="R31" i="4" s="1"/>
  <c r="P41" i="4"/>
  <c r="Q41" i="4" s="1"/>
  <c r="R41" i="4" s="1"/>
  <c r="P47" i="4"/>
  <c r="Q47" i="4" s="1"/>
  <c r="R47" i="4" s="1"/>
  <c r="P49" i="4"/>
  <c r="Q49" i="4" s="1"/>
  <c r="R49" i="4" s="1"/>
  <c r="P33" i="4"/>
  <c r="Q33" i="4" s="1"/>
  <c r="R33" i="4" s="1"/>
  <c r="P43" i="4"/>
  <c r="Q43" i="4" s="1"/>
  <c r="R43" i="4" s="1"/>
  <c r="I8" i="2" l="1"/>
  <c r="H7" i="2" l="1"/>
  <c r="I7" i="2" s="1"/>
  <c r="H6" i="2" l="1"/>
  <c r="I6" i="2" s="1"/>
  <c r="AG5" i="3" l="1"/>
  <c r="AG7" i="3" l="1"/>
  <c r="AG6" i="3"/>
  <c r="AG8" i="3"/>
  <c r="O22" i="3" s="1"/>
  <c r="Z1" i="4"/>
  <c r="H4" i="2" l="1"/>
  <c r="I4" i="2" s="1"/>
  <c r="H5" i="2"/>
  <c r="I5" i="2" s="1"/>
  <c r="M12" i="40"/>
  <c r="M18" i="40"/>
  <c r="K15" i="40"/>
  <c r="L17" i="40"/>
  <c r="M16" i="40"/>
  <c r="M14" i="40"/>
  <c r="K20" i="40"/>
  <c r="L18" i="40"/>
  <c r="L11" i="40"/>
  <c r="L19" i="40"/>
  <c r="L15" i="40"/>
  <c r="L6" i="40"/>
  <c r="K12" i="40"/>
  <c r="K18" i="40"/>
  <c r="K5" i="40"/>
  <c r="L14" i="40"/>
  <c r="L16" i="40"/>
  <c r="L13" i="40"/>
  <c r="K16" i="40"/>
  <c r="K14" i="40"/>
  <c r="L7" i="40"/>
  <c r="K11" i="40"/>
  <c r="L5" i="40"/>
  <c r="L21" i="40"/>
  <c r="K13" i="40"/>
  <c r="M13" i="40"/>
  <c r="L12" i="40"/>
  <c r="K17" i="40"/>
  <c r="M17" i="40"/>
  <c r="K19" i="40"/>
  <c r="M19" i="40"/>
  <c r="L20" i="40"/>
  <c r="K6" i="40"/>
  <c r="M6" i="40"/>
  <c r="K8" i="40"/>
  <c r="L8" i="40"/>
  <c r="K7" i="40"/>
  <c r="M7" i="40"/>
  <c r="L10" i="40"/>
  <c r="M10" i="40"/>
  <c r="K10" i="40"/>
  <c r="D7" i="27"/>
  <c r="C7" i="27"/>
  <c r="G7" i="27"/>
  <c r="H7" i="27"/>
  <c r="D10" i="27"/>
  <c r="G10" i="27"/>
  <c r="H10" i="27"/>
  <c r="C10" i="27"/>
  <c r="C21" i="27" s="1"/>
</calcChain>
</file>

<file path=xl/sharedStrings.xml><?xml version="1.0" encoding="utf-8"?>
<sst xmlns="http://schemas.openxmlformats.org/spreadsheetml/2006/main" count="3092" uniqueCount="656">
  <si>
    <t>الموقع</t>
  </si>
  <si>
    <t>السنة المائية</t>
  </si>
  <si>
    <t>(2011-2010)</t>
  </si>
  <si>
    <t>(2012-2011)</t>
  </si>
  <si>
    <t>المصدر : وزارة الموارد المائية / دائرة التخطيط والمتابعة / قسم السياسات البيئية</t>
  </si>
  <si>
    <t>عدد السكان *</t>
  </si>
  <si>
    <t>ت1</t>
  </si>
  <si>
    <t>ت2</t>
  </si>
  <si>
    <t>ك1</t>
  </si>
  <si>
    <t>ك2</t>
  </si>
  <si>
    <t>شباط</t>
  </si>
  <si>
    <t>أذار</t>
  </si>
  <si>
    <t>نيسان</t>
  </si>
  <si>
    <t>آيار</t>
  </si>
  <si>
    <t>حزيران</t>
  </si>
  <si>
    <t>تموز</t>
  </si>
  <si>
    <t>أب</t>
  </si>
  <si>
    <t>أيلول</t>
  </si>
  <si>
    <t>آذار</t>
  </si>
  <si>
    <t>آب</t>
  </si>
  <si>
    <t>حوض دجلة</t>
  </si>
  <si>
    <t>حوض الفرات</t>
  </si>
  <si>
    <t>الزاب الأسفل (قناة ري كركوك)</t>
  </si>
  <si>
    <t>المجموع</t>
  </si>
  <si>
    <r>
      <t>ت</t>
    </r>
    <r>
      <rPr>
        <b/>
        <sz val="9"/>
        <rFont val="Times New Roman"/>
        <family val="1"/>
      </rPr>
      <t>1</t>
    </r>
  </si>
  <si>
    <r>
      <t>ت</t>
    </r>
    <r>
      <rPr>
        <b/>
        <sz val="9"/>
        <rFont val="Times New Roman"/>
        <family val="1"/>
      </rPr>
      <t>2</t>
    </r>
  </si>
  <si>
    <r>
      <t>ك</t>
    </r>
    <r>
      <rPr>
        <b/>
        <sz val="9"/>
        <rFont val="Times New Roman"/>
        <family val="1"/>
      </rPr>
      <t>1</t>
    </r>
  </si>
  <si>
    <r>
      <t>ك</t>
    </r>
    <r>
      <rPr>
        <b/>
        <sz val="9"/>
        <rFont val="Times New Roman"/>
        <family val="1"/>
      </rPr>
      <t>2</t>
    </r>
  </si>
  <si>
    <t>سد الموصل</t>
  </si>
  <si>
    <t>دبس</t>
  </si>
  <si>
    <t>بغداد</t>
  </si>
  <si>
    <t>سدة سامراء</t>
  </si>
  <si>
    <t>دربندخان</t>
  </si>
  <si>
    <t>سد حمرين</t>
  </si>
  <si>
    <t>حديثة</t>
  </si>
  <si>
    <t xml:space="preserve">سدة الهندية </t>
  </si>
  <si>
    <t>سدة الكوت</t>
  </si>
  <si>
    <t>علي الغربي</t>
  </si>
  <si>
    <t>السليمانية</t>
  </si>
  <si>
    <t>أربيل</t>
  </si>
  <si>
    <t>الاشهر</t>
  </si>
  <si>
    <t>سد دوكان</t>
  </si>
  <si>
    <t>سد دربندخان</t>
  </si>
  <si>
    <t>بحيرة الثرثار</t>
  </si>
  <si>
    <t>سد حديثة</t>
  </si>
  <si>
    <t>بحيرة الحبانية</t>
  </si>
  <si>
    <t>تشرين الاول</t>
  </si>
  <si>
    <t>تشرين الثاني</t>
  </si>
  <si>
    <t>كانون الاول</t>
  </si>
  <si>
    <t>كانون الثاني</t>
  </si>
  <si>
    <t>الحوض</t>
  </si>
  <si>
    <t>السد أو البحيرة</t>
  </si>
  <si>
    <t>المنسوب ( م )</t>
  </si>
  <si>
    <t>حوضي دجلة والفرات</t>
  </si>
  <si>
    <t>حوض العظيم</t>
  </si>
  <si>
    <t>سد العظيم</t>
  </si>
  <si>
    <t>كربلاء</t>
  </si>
  <si>
    <t>المحافظة</t>
  </si>
  <si>
    <t>نينوى</t>
  </si>
  <si>
    <t>كركوك</t>
  </si>
  <si>
    <t>ديالى</t>
  </si>
  <si>
    <t>صلاح الدين</t>
  </si>
  <si>
    <t>أطراف بغداد</t>
  </si>
  <si>
    <t>واسط</t>
  </si>
  <si>
    <t>بابل</t>
  </si>
  <si>
    <t>النجف</t>
  </si>
  <si>
    <t>القادسية</t>
  </si>
  <si>
    <t>المثنى</t>
  </si>
  <si>
    <t>ذي قار</t>
  </si>
  <si>
    <t>ميسان</t>
  </si>
  <si>
    <t>البصرة</t>
  </si>
  <si>
    <t>أمانة بغداد</t>
  </si>
  <si>
    <t>المجموع الكلي</t>
  </si>
  <si>
    <t>ريف</t>
  </si>
  <si>
    <t>ــ يتبع ــ</t>
  </si>
  <si>
    <t>المشاريع</t>
  </si>
  <si>
    <t>العدّ البكتيري</t>
  </si>
  <si>
    <t>بكتريا القولون</t>
  </si>
  <si>
    <t>بكتريا القولون البرازية</t>
  </si>
  <si>
    <t>Min.</t>
  </si>
  <si>
    <t>Max.</t>
  </si>
  <si>
    <t>الكرخ</t>
  </si>
  <si>
    <t xml:space="preserve">شرق دجلة </t>
  </si>
  <si>
    <t>الصدر</t>
  </si>
  <si>
    <t>الوثبة</t>
  </si>
  <si>
    <t>الكرامة</t>
  </si>
  <si>
    <t>الدورة</t>
  </si>
  <si>
    <t xml:space="preserve">الوحدة </t>
  </si>
  <si>
    <t>الرشيد</t>
  </si>
  <si>
    <t xml:space="preserve"> نوع الفحص </t>
  </si>
  <si>
    <t>وحدة القياس</t>
  </si>
  <si>
    <t xml:space="preserve">ماء النهر </t>
  </si>
  <si>
    <t>ماء الشرب</t>
  </si>
  <si>
    <t>Ave.</t>
  </si>
  <si>
    <t>اللون</t>
  </si>
  <si>
    <t xml:space="preserve">Color </t>
  </si>
  <si>
    <t>درجة الحرارة</t>
  </si>
  <si>
    <t xml:space="preserve">Temperature           </t>
  </si>
  <si>
    <t xml:space="preserve">C° </t>
  </si>
  <si>
    <t>العكورة</t>
  </si>
  <si>
    <t>mg/L</t>
  </si>
  <si>
    <t>PH</t>
  </si>
  <si>
    <t>القاعدية</t>
  </si>
  <si>
    <t xml:space="preserve"> العسرة الكلية</t>
  </si>
  <si>
    <t>الكالسيوم</t>
  </si>
  <si>
    <t>Calcium as Ca</t>
  </si>
  <si>
    <t>المغنيسيوم</t>
  </si>
  <si>
    <t>Magnesium as Mg</t>
  </si>
  <si>
    <t>الكلورايد</t>
  </si>
  <si>
    <t>Chloride as CL</t>
  </si>
  <si>
    <t xml:space="preserve"> mg/L</t>
  </si>
  <si>
    <t>التوصيل الكهربائي</t>
  </si>
  <si>
    <t xml:space="preserve">Conductivity </t>
  </si>
  <si>
    <t>µs/cm</t>
  </si>
  <si>
    <t>الالمنيوم</t>
  </si>
  <si>
    <t xml:space="preserve">Aluminium as AL </t>
  </si>
  <si>
    <t>mg /L</t>
  </si>
  <si>
    <t xml:space="preserve"> المواد الصلبة المذابة</t>
  </si>
  <si>
    <t>Total Dissolve solids</t>
  </si>
  <si>
    <t xml:space="preserve">Suspended solids </t>
  </si>
  <si>
    <t xml:space="preserve">Iron as Fe </t>
  </si>
  <si>
    <t xml:space="preserve">الكبريتات </t>
  </si>
  <si>
    <t xml:space="preserve">الفلورايد  </t>
  </si>
  <si>
    <t xml:space="preserve">Fluoride as F </t>
  </si>
  <si>
    <t xml:space="preserve">امونيا </t>
  </si>
  <si>
    <t xml:space="preserve">نتريت   </t>
  </si>
  <si>
    <t xml:space="preserve">نترات </t>
  </si>
  <si>
    <t xml:space="preserve">سيلكا </t>
  </si>
  <si>
    <t xml:space="preserve">الفوسفات  </t>
  </si>
  <si>
    <t>كاديميوم</t>
  </si>
  <si>
    <t xml:space="preserve">Cadmium as Cd </t>
  </si>
  <si>
    <t>رصاص</t>
  </si>
  <si>
    <t>Lead as Pb</t>
  </si>
  <si>
    <t>منغنيز</t>
  </si>
  <si>
    <t>Manganese as Mn</t>
  </si>
  <si>
    <t>نحاس</t>
  </si>
  <si>
    <t>Copper as Cu</t>
  </si>
  <si>
    <t>كروم</t>
  </si>
  <si>
    <t>Chromium as Cr</t>
  </si>
  <si>
    <t>زنك</t>
  </si>
  <si>
    <t>Zinc as Zn</t>
  </si>
  <si>
    <t>صوديوم</t>
  </si>
  <si>
    <t>Sodium as Na</t>
  </si>
  <si>
    <t>بوتاسيوم</t>
  </si>
  <si>
    <t xml:space="preserve">Potassium as K </t>
  </si>
  <si>
    <t>زئبق</t>
  </si>
  <si>
    <t>Mercury as Hg</t>
  </si>
  <si>
    <t xml:space="preserve">وحدة القياس </t>
  </si>
  <si>
    <t>Turbidity</t>
  </si>
  <si>
    <t>العسرة الكلية</t>
  </si>
  <si>
    <t>T.H.</t>
  </si>
  <si>
    <t>ALK.</t>
  </si>
  <si>
    <t xml:space="preserve">الأملاح الذائبة الكلية            </t>
  </si>
  <si>
    <t>T.D.S.</t>
  </si>
  <si>
    <t xml:space="preserve">الأس الهيدروجيني                                </t>
  </si>
  <si>
    <t xml:space="preserve">الكلوريدات </t>
  </si>
  <si>
    <t>Cl</t>
  </si>
  <si>
    <t xml:space="preserve">الكالسيوم  </t>
  </si>
  <si>
    <t>Ca</t>
  </si>
  <si>
    <t xml:space="preserve">المغنيسيوم  </t>
  </si>
  <si>
    <t>Mg</t>
  </si>
  <si>
    <t xml:space="preserve">التوصيل الكهربائي                                           </t>
  </si>
  <si>
    <t>E.C.</t>
  </si>
  <si>
    <t>الصوديوم</t>
  </si>
  <si>
    <t>Na</t>
  </si>
  <si>
    <t>البوتاسيوم</t>
  </si>
  <si>
    <t>K</t>
  </si>
  <si>
    <t>الكبريتات</t>
  </si>
  <si>
    <t>SO4</t>
  </si>
  <si>
    <t xml:space="preserve">تشرين الأول </t>
  </si>
  <si>
    <t>كانون الأول</t>
  </si>
  <si>
    <t>ت 1</t>
  </si>
  <si>
    <t>ت 2</t>
  </si>
  <si>
    <t>ك 1</t>
  </si>
  <si>
    <t>هور الحويزة</t>
  </si>
  <si>
    <t>نهر دجلة الرئيسي</t>
  </si>
  <si>
    <t xml:space="preserve"> ديالى</t>
  </si>
  <si>
    <t>الحديد</t>
  </si>
  <si>
    <t>نوع الفحص</t>
  </si>
  <si>
    <t>E.coli / 100 ml</t>
  </si>
  <si>
    <r>
      <t>Alkalinity as CaCO</t>
    </r>
    <r>
      <rPr>
        <b/>
        <sz val="8"/>
        <rFont val="Times New Roman"/>
        <family val="1"/>
      </rPr>
      <t>3</t>
    </r>
    <r>
      <rPr>
        <b/>
        <sz val="10"/>
        <rFont val="Times New Roman"/>
        <family val="1"/>
      </rPr>
      <t xml:space="preserve">  </t>
    </r>
  </si>
  <si>
    <r>
      <t>Sulfate as SO</t>
    </r>
    <r>
      <rPr>
        <b/>
        <sz val="8"/>
        <rFont val="Times New Roman"/>
        <family val="1"/>
      </rPr>
      <t>4</t>
    </r>
    <r>
      <rPr>
        <b/>
        <sz val="10"/>
        <rFont val="Times New Roman"/>
        <family val="1"/>
      </rPr>
      <t xml:space="preserve"> </t>
    </r>
  </si>
  <si>
    <t>(2013-2012)</t>
  </si>
  <si>
    <t>إجمالي</t>
  </si>
  <si>
    <t>البلديات</t>
  </si>
  <si>
    <t xml:space="preserve">Turbidity </t>
  </si>
  <si>
    <t>N.T.U</t>
  </si>
  <si>
    <r>
      <t>Ammonia as NH</t>
    </r>
    <r>
      <rPr>
        <b/>
        <sz val="8"/>
        <rFont val="Times New Roman"/>
        <family val="1"/>
      </rPr>
      <t>3</t>
    </r>
  </si>
  <si>
    <r>
      <t>Nitrite as NO</t>
    </r>
    <r>
      <rPr>
        <b/>
        <sz val="8"/>
        <rFont val="Simplified Arabic"/>
        <family val="1"/>
      </rPr>
      <t>2</t>
    </r>
    <r>
      <rPr>
        <b/>
        <sz val="10"/>
        <rFont val="Simplified Arabic"/>
        <family val="1"/>
      </rPr>
      <t xml:space="preserve"> </t>
    </r>
  </si>
  <si>
    <r>
      <t>Nitrate as NO</t>
    </r>
    <r>
      <rPr>
        <b/>
        <sz val="8"/>
        <rFont val="Simplified Arabic"/>
        <family val="1"/>
      </rPr>
      <t>3</t>
    </r>
    <r>
      <rPr>
        <b/>
        <sz val="10"/>
        <rFont val="Simplified Arabic"/>
        <family val="1"/>
      </rPr>
      <t xml:space="preserve"> </t>
    </r>
  </si>
  <si>
    <r>
      <t>Silica as SiO</t>
    </r>
    <r>
      <rPr>
        <b/>
        <sz val="8"/>
        <rFont val="Simplified Arabic"/>
        <family val="1"/>
      </rPr>
      <t>2</t>
    </r>
    <r>
      <rPr>
        <b/>
        <sz val="10"/>
        <rFont val="Simplified Arabic"/>
        <family val="1"/>
      </rPr>
      <t xml:space="preserve"> </t>
    </r>
  </si>
  <si>
    <r>
      <t>Phosphate as  PO</t>
    </r>
    <r>
      <rPr>
        <b/>
        <sz val="8"/>
        <rFont val="Simplified Arabic"/>
        <family val="1"/>
      </rPr>
      <t>4</t>
    </r>
    <r>
      <rPr>
        <b/>
        <sz val="10"/>
        <rFont val="Simplified Arabic"/>
        <family val="1"/>
      </rPr>
      <t xml:space="preserve"> </t>
    </r>
  </si>
  <si>
    <t>مجموع</t>
  </si>
  <si>
    <t>تقسيم 12</t>
  </si>
  <si>
    <t>رافد الزاب الأسفل</t>
  </si>
  <si>
    <t>رافد نهر ديالى</t>
  </si>
  <si>
    <t>حوض العظيم (مؤخر سد العظيم)</t>
  </si>
  <si>
    <t>الإجمالي</t>
  </si>
  <si>
    <t>النسبة المئوية</t>
  </si>
  <si>
    <t xml:space="preserve">آذار </t>
  </si>
  <si>
    <t>الزاب الأسفل</t>
  </si>
  <si>
    <t>الأس الهيدروجيني</t>
  </si>
  <si>
    <t xml:space="preserve">   المصدر : أمانة بغداد / دائرة ماء بغداد / قسم السيطرة النوعية </t>
  </si>
  <si>
    <t>المصدر : أمانة بغداد / دائرة ماء بغداد / قسم السيطرة النوعية</t>
  </si>
  <si>
    <t>قسم إحصاءات البيئة - الجهاز المركزي للإحصاء / العراق</t>
  </si>
  <si>
    <t>(2014-2013)</t>
  </si>
  <si>
    <t>2014-2013</t>
  </si>
  <si>
    <t xml:space="preserve">الكاظمية </t>
  </si>
  <si>
    <t>المعدل الشهري ( م³ / ثا)</t>
  </si>
  <si>
    <t>حوض ديالى                   ( مؤخر سد حمرين)</t>
  </si>
  <si>
    <t>2014 - 2015</t>
  </si>
  <si>
    <t>(2015-2014)</t>
  </si>
  <si>
    <t>بدرة</t>
  </si>
  <si>
    <t>الناصرية</t>
  </si>
  <si>
    <t xml:space="preserve">سد حمرين </t>
  </si>
  <si>
    <t>دهوك</t>
  </si>
  <si>
    <t>الموسم الشتوي ( م³/ ثا)</t>
  </si>
  <si>
    <t>الموسم الصيفي ( م³/ ثا)</t>
  </si>
  <si>
    <t>الأشهر</t>
  </si>
  <si>
    <t>&lt;0.01</t>
  </si>
  <si>
    <t>&lt;0.001</t>
  </si>
  <si>
    <t>&lt;0.002</t>
  </si>
  <si>
    <t>&lt;0.02</t>
  </si>
  <si>
    <t>حوض ديالى (مؤخر سد حمرين)</t>
  </si>
  <si>
    <t xml:space="preserve"> مشاريع المياه</t>
  </si>
  <si>
    <t xml:space="preserve"> النسبة المئوية لمعدل كميات المياه المنتجة إلى الطاقة التصميمية </t>
  </si>
  <si>
    <t>العدد</t>
  </si>
  <si>
    <t>%</t>
  </si>
  <si>
    <t>قسم احصاءات البيئة - الجهاز المركزي للاحصاء / العراق</t>
  </si>
  <si>
    <t>المجمعات المائية</t>
  </si>
  <si>
    <t>النسبة المئوية لمعدل كميات المياه المنتجة إلى الطاقة التصميمية</t>
  </si>
  <si>
    <t>محطات تحلية المياه (RO)</t>
  </si>
  <si>
    <t xml:space="preserve">النسبة المئوية لمعدل كميات المياه المحلاة المنتجة إلى الطاقة التصميمية </t>
  </si>
  <si>
    <t>المحطات العاملة بالطاقة الشمسية</t>
  </si>
  <si>
    <t>مشاريع المياه</t>
  </si>
  <si>
    <t xml:space="preserve">النسبة المئوية لمعدل كميات المياه المفقودة (الضياعات) أثناء النقل بشبكة توزيع المياه </t>
  </si>
  <si>
    <t xml:space="preserve">حضر </t>
  </si>
  <si>
    <t>عدد السكان المخدومين بشبكات توزيع المياه الصالحة للشرب (نسمة)</t>
  </si>
  <si>
    <t>عدد السكان الكلي في المحافظة (نسمة) *</t>
  </si>
  <si>
    <t>* عدد السكان حسب تقديرات الجهاز المركزي للإحصاء</t>
  </si>
  <si>
    <t>عدد السكان المخدومين</t>
  </si>
  <si>
    <t>نسبة السكان المخدومين</t>
  </si>
  <si>
    <t>حضر</t>
  </si>
  <si>
    <t xml:space="preserve">ريف </t>
  </si>
  <si>
    <t xml:space="preserve">الماء الخام </t>
  </si>
  <si>
    <t xml:space="preserve">بحيرة الثرثار </t>
  </si>
  <si>
    <t xml:space="preserve">سد العظيم </t>
  </si>
  <si>
    <t xml:space="preserve">بحيرة الحبانية </t>
  </si>
  <si>
    <t>.. بيانات غير متوفرة</t>
  </si>
  <si>
    <t>العدد الكلي</t>
  </si>
  <si>
    <t xml:space="preserve">مجموع الطاقات التصميمية </t>
  </si>
  <si>
    <t xml:space="preserve"> (م³/ يوم)</t>
  </si>
  <si>
    <t>المياه السطحية</t>
  </si>
  <si>
    <t>المياه الجوفية</t>
  </si>
  <si>
    <t xml:space="preserve">صلاح الدين </t>
  </si>
  <si>
    <t>المشاريع والمجمعات المائية</t>
  </si>
  <si>
    <t xml:space="preserve">العدد الكلي </t>
  </si>
  <si>
    <t>العاملة</t>
  </si>
  <si>
    <t>المتوقفة</t>
  </si>
  <si>
    <t xml:space="preserve">العاملة   جزئياً </t>
  </si>
  <si>
    <t xml:space="preserve">العاملة    جزئياً </t>
  </si>
  <si>
    <t>الحاجة التقديرية لكمية المياه الصالحة للشرب (م³/ يوم)</t>
  </si>
  <si>
    <t>منزلي</t>
  </si>
  <si>
    <t>حكومي</t>
  </si>
  <si>
    <t>أخرى</t>
  </si>
  <si>
    <t>أهم المشاكل</t>
  </si>
  <si>
    <t>عدد المحافظات</t>
  </si>
  <si>
    <t>أسماء المحافظات</t>
  </si>
  <si>
    <t>عدم كفاءة المشروع</t>
  </si>
  <si>
    <t>شحة المياه الخام في المصدر المائي</t>
  </si>
  <si>
    <t>تلوث مياه المصدر</t>
  </si>
  <si>
    <t>قدم الشبكة وضعفها</t>
  </si>
  <si>
    <t>أنتاج المشروع لا يسد الحاجة</t>
  </si>
  <si>
    <t>ضعف الصيانة وعدم الإدامة</t>
  </si>
  <si>
    <t>شحة الأدوات الاحتياطية والمواد الأولية</t>
  </si>
  <si>
    <t>قلة الكادر الفني والإداري</t>
  </si>
  <si>
    <t>عدم كفاءة الكادر الفني</t>
  </si>
  <si>
    <t>شحة وتذبذب الطاقة الكهربائية اللازمة للتشغيل</t>
  </si>
  <si>
    <t>تجاوزات المواطنين على الشبكة</t>
  </si>
  <si>
    <t>ضعف الوعي لدى المواطن بترشيد الاستهلاك</t>
  </si>
  <si>
    <t xml:space="preserve">الإجمالي </t>
  </si>
  <si>
    <t>(2016-2015)</t>
  </si>
  <si>
    <t xml:space="preserve">الكمية (م³/ يوم)  </t>
  </si>
  <si>
    <t>كمية المياه المنتجة والموزّعة حسب القطاع ( م³/ يوم)</t>
  </si>
  <si>
    <t>التوزيع النسبي للمياه المنتجة والموزّعة حسب القطاع</t>
  </si>
  <si>
    <t xml:space="preserve">أخرى </t>
  </si>
  <si>
    <t>المجموع الكلي للمحطات</t>
  </si>
  <si>
    <t>..</t>
  </si>
  <si>
    <t>كمية المياه الخام المسحوبة من المشاريع والمجمعات المائية لمحطات التحلية (م³/ يوم)</t>
  </si>
  <si>
    <t>قلة التخصيصات المالية</t>
  </si>
  <si>
    <t xml:space="preserve">الأشهر </t>
  </si>
  <si>
    <t>تقسيم مليار</t>
  </si>
  <si>
    <t xml:space="preserve">            2.  أمانة بغداد / دائرة ماء بغداد</t>
  </si>
  <si>
    <t>السماوة</t>
  </si>
  <si>
    <t>المجموع الكلي لكمية المياه المنتجة *</t>
  </si>
  <si>
    <t xml:space="preserve">   معدل كميات المياه المجهزّة للسكان (الماء المباع) الصالحة للشرب (م³/ يوم)</t>
  </si>
  <si>
    <t>الأنبار</t>
  </si>
  <si>
    <t>النهر</t>
  </si>
  <si>
    <t xml:space="preserve">المعدل السنوي      </t>
  </si>
  <si>
    <t xml:space="preserve">( م³ / ثا) </t>
  </si>
  <si>
    <t xml:space="preserve">الوارد السنوي </t>
  </si>
  <si>
    <t xml:space="preserve">(مليار م³) </t>
  </si>
  <si>
    <t>(2017-2016)</t>
  </si>
  <si>
    <t>الآبار</t>
  </si>
  <si>
    <t>محطات إنتاج  المياه المنصوبة على الآبار</t>
  </si>
  <si>
    <t xml:space="preserve">مجموع معدلات الطاقات المتاحة </t>
  </si>
  <si>
    <t xml:space="preserve">مجموع معدلات كميات المياه المنتجة </t>
  </si>
  <si>
    <t>مجموع معدلات كميات المياه الخام المسحوبة حسب المصدر  (م³/ يوم)</t>
  </si>
  <si>
    <t>مجموع معدلات كميات المياه الخام المسحوبة من الآبار والمستخدمة كمصدر للمياه الخام  (م³/ يوم)</t>
  </si>
  <si>
    <t>محطات إنتاج المياه المنصوبة على الآبار</t>
  </si>
  <si>
    <t>0/5</t>
  </si>
  <si>
    <t>سوء الأوضاع الأمنية</t>
  </si>
  <si>
    <t>مجموع معدلات كميات المياه الخام المسحوبة حسب المصدر (م³/ يوم)</t>
  </si>
  <si>
    <t>معدل كميات المياه الخام المسحوبة حسب المصدر (م³/ يوم)</t>
  </si>
  <si>
    <t xml:space="preserve">كمية المياه المسحوبة من المشاريع والمجمعات المائية لمحطات تحلية المياه (RO) (م³/ يوم) </t>
  </si>
  <si>
    <t>المجموع الكلي لكمية المياه الصالحة للشرب المنتجة (م³/ يوم)</t>
  </si>
  <si>
    <t>اسم الهور</t>
  </si>
  <si>
    <t>* المجموع الكلي لكمية المياه الخام المسحوبة = مجموع الكميات المسحوبة من (المياه السطحية والمياه الجوفية)</t>
  </si>
  <si>
    <t>Plate count / 1 ml</t>
  </si>
  <si>
    <t>T.Coliform / 100 ml</t>
  </si>
  <si>
    <t>مجموع الواردات (مليار م³ / سنة)</t>
  </si>
  <si>
    <t>(2018-2017)</t>
  </si>
  <si>
    <t>عدد النماذج البكتريولوجية المفحوصة</t>
  </si>
  <si>
    <t>عدد النماذج الفاشلة</t>
  </si>
  <si>
    <t>نسبة الفشل</t>
  </si>
  <si>
    <t xml:space="preserve"> بغداد</t>
  </si>
  <si>
    <t>متوسط نصيب الفرد من المياه المجهزّة للسكان المخدومين (الماء المباع) الصالحة للشرب (لتر/ يوم)</t>
  </si>
  <si>
    <t>كمية المياه الكلية المنتجة (الماء المباع + الموزع  مجاناً) (م³/ يوم)</t>
  </si>
  <si>
    <t>كمية المياه الموّزعة مجاناً (م³/ يوم)</t>
  </si>
  <si>
    <t>المعدل السنوي</t>
  </si>
  <si>
    <t>الخزن الحي لغاية المنافذ السفلى (مليار م³)</t>
  </si>
  <si>
    <t>المجموع السنوي</t>
  </si>
  <si>
    <t>مليون م³</t>
  </si>
  <si>
    <t>جدول (1)</t>
  </si>
  <si>
    <t>جدول (2)</t>
  </si>
  <si>
    <t>جدول (3)</t>
  </si>
  <si>
    <t>جدول (5)</t>
  </si>
  <si>
    <t>جدول (6)</t>
  </si>
  <si>
    <t>جدول (7)</t>
  </si>
  <si>
    <t>جدول (10)</t>
  </si>
  <si>
    <t>جدول (11)</t>
  </si>
  <si>
    <t>جدول (12)</t>
  </si>
  <si>
    <t>جدول (24)</t>
  </si>
  <si>
    <t>جدول (25)</t>
  </si>
  <si>
    <t xml:space="preserve">   الحويزة</t>
  </si>
  <si>
    <t xml:space="preserve">   الوسطى</t>
  </si>
  <si>
    <t xml:space="preserve">   الحمّار</t>
  </si>
  <si>
    <t xml:space="preserve">   المجموع</t>
  </si>
  <si>
    <t>* المجموع الكلي لكمية المياه المنتجة = مجموع الكميات المنتجة من (المشاريع + المجمعات المائية + محطات تحلية المياه (RO)+ محطات إنتاج المياه المنصوبة على الأبار + المحطات العاملة بالطاقة الشمسية - كمية المياه الخام المسحوبة من المشاريع والمجمعات المائية لمحطات التحلية)</t>
  </si>
  <si>
    <t>(2019-2018)</t>
  </si>
  <si>
    <t>ــ</t>
  </si>
  <si>
    <t>الرصافة</t>
  </si>
  <si>
    <t>رافد الزاب الأعلى</t>
  </si>
  <si>
    <t>رافد نهر العظيم</t>
  </si>
  <si>
    <t xml:space="preserve">إيراد نهر الفرات في حصيبة </t>
  </si>
  <si>
    <t>زراعي</t>
  </si>
  <si>
    <t>صناعي</t>
  </si>
  <si>
    <t>بيئي</t>
  </si>
  <si>
    <t>جدول (4)</t>
  </si>
  <si>
    <t xml:space="preserve"> تم اعتماد المعدل العام بدلآ من الوسط الحسابي لوجود سنوات مفقودة في السلسلة الزمنية</t>
  </si>
  <si>
    <t>الخزين الحي (مليار م³)</t>
  </si>
  <si>
    <t>جدول (9)</t>
  </si>
  <si>
    <t>جدول (15)</t>
  </si>
  <si>
    <r>
      <rPr>
        <b/>
        <sz val="10"/>
        <rFont val="Arial"/>
        <family val="2"/>
      </rPr>
      <t>(</t>
    </r>
    <r>
      <rPr>
        <b/>
        <sz val="12"/>
        <rFont val="Arial"/>
        <family val="2"/>
      </rPr>
      <t>م³/ثا)</t>
    </r>
  </si>
  <si>
    <t xml:space="preserve">معدل التصريف </t>
  </si>
  <si>
    <t>معدل التصريف</t>
  </si>
  <si>
    <t>جدول (8)</t>
  </si>
  <si>
    <t>جدول (23)</t>
  </si>
  <si>
    <t xml:space="preserve">الإستهلاكات أعلاه غير دقيقة  للأسباب التالية : </t>
  </si>
  <si>
    <t xml:space="preserve">المعدل </t>
  </si>
  <si>
    <t>نصيب الفرد من الواردات (م³ / سنة)</t>
  </si>
  <si>
    <t>محافظة</t>
  </si>
  <si>
    <t>(2020-2019)</t>
  </si>
  <si>
    <t>معدل كميات المياه المنتجة من محطات أنتاج المياه (م³/ يوم) **</t>
  </si>
  <si>
    <t>معدل كميات المياه المفقودة (الضياعات) أثناء النقل بشبكة توزيع المياه  (م³/ يوم)</t>
  </si>
  <si>
    <t>معدل كمية المياه الموزّعة مجاناً (م³/ يوم)</t>
  </si>
  <si>
    <t>جدول (13)</t>
  </si>
  <si>
    <t>جدول ( 14)</t>
  </si>
  <si>
    <t>جدول (16)</t>
  </si>
  <si>
    <t>جدول (19)</t>
  </si>
  <si>
    <t>جدول (26)</t>
  </si>
  <si>
    <t>تابع / جدول (26)</t>
  </si>
  <si>
    <t xml:space="preserve"> جدول (27)</t>
  </si>
  <si>
    <t xml:space="preserve"> تابع / جدول (27)</t>
  </si>
  <si>
    <t>جدول (29)</t>
  </si>
  <si>
    <t>جدول ( 30)</t>
  </si>
  <si>
    <r>
      <t>0.01</t>
    </r>
    <r>
      <rPr>
        <b/>
        <sz val="10"/>
        <rFont val="Calibri"/>
        <family val="2"/>
      </rPr>
      <t>&gt;</t>
    </r>
  </si>
  <si>
    <r>
      <t>0.02</t>
    </r>
    <r>
      <rPr>
        <b/>
        <sz val="10"/>
        <rFont val="Calibri"/>
        <family val="2"/>
      </rPr>
      <t>&gt;</t>
    </r>
  </si>
  <si>
    <t>&lt;0.05</t>
  </si>
  <si>
    <t>كمية المياه الداخلة الى الأهوار</t>
  </si>
  <si>
    <r>
      <t>Total Hardness as CaCO</t>
    </r>
    <r>
      <rPr>
        <b/>
        <sz val="8"/>
        <rFont val="Times New Roman"/>
        <family val="1"/>
      </rPr>
      <t>3</t>
    </r>
    <r>
      <rPr>
        <b/>
        <sz val="10"/>
        <rFont val="Times New Roman"/>
        <family val="1"/>
      </rPr>
      <t xml:space="preserve"> </t>
    </r>
  </si>
  <si>
    <t>(2021-2020)</t>
  </si>
  <si>
    <t>المتحقق في 2021/10/1</t>
  </si>
  <si>
    <t xml:space="preserve">الحدود الدنيا والعليا ومعدل الفحوصات البكتريولوجية </t>
  </si>
  <si>
    <t>وارد سد الموصل</t>
  </si>
  <si>
    <t>مطلق سد الموصل</t>
  </si>
  <si>
    <t>وارد سد دوكان</t>
  </si>
  <si>
    <t>مطلق سد دوكان</t>
  </si>
  <si>
    <t>وارد سد العظيم</t>
  </si>
  <si>
    <t>مطلق سد العظيم</t>
  </si>
  <si>
    <t>وارد بحيرة الثرثار</t>
  </si>
  <si>
    <t>مطلق بحيرة الثرثار</t>
  </si>
  <si>
    <t>وارد سد دربندخان</t>
  </si>
  <si>
    <t>مطلق سد دربندخان</t>
  </si>
  <si>
    <t>وارد سد حمرين</t>
  </si>
  <si>
    <t>مطلق سد حمرين</t>
  </si>
  <si>
    <t>وارد سد حديثة</t>
  </si>
  <si>
    <t>مطلق سد حديثة</t>
  </si>
  <si>
    <t>وارد بحيرة الحبانية</t>
  </si>
  <si>
    <t>مطلق بحيرة الحبانية</t>
  </si>
  <si>
    <t>النسبة المئوية للاغمار الكلي (%)</t>
  </si>
  <si>
    <t>الشهر</t>
  </si>
  <si>
    <t>حويزة ميسان</t>
  </si>
  <si>
    <t>حويزة بصرة</t>
  </si>
  <si>
    <t>اذار</t>
  </si>
  <si>
    <t>ايار</t>
  </si>
  <si>
    <t>اب</t>
  </si>
  <si>
    <t>ايلول</t>
  </si>
  <si>
    <t>المعدل</t>
  </si>
  <si>
    <t>وسطى ميسان</t>
  </si>
  <si>
    <t>وسطى بصرة</t>
  </si>
  <si>
    <t>وسطى ناصرية</t>
  </si>
  <si>
    <t>حمار بصرة</t>
  </si>
  <si>
    <t>حمار ناصرية</t>
  </si>
  <si>
    <t>المصدر</t>
  </si>
  <si>
    <t>المغذيات</t>
  </si>
  <si>
    <t>تشرين الأول</t>
  </si>
  <si>
    <t xml:space="preserve">دجلة </t>
  </si>
  <si>
    <t>السناف</t>
  </si>
  <si>
    <t>جسر السودة</t>
  </si>
  <si>
    <t>الخمس</t>
  </si>
  <si>
    <t>عوده</t>
  </si>
  <si>
    <t>الاصلاح</t>
  </si>
  <si>
    <t>الفرات</t>
  </si>
  <si>
    <t>المجمع (ايسر الفرات)</t>
  </si>
  <si>
    <t>المجمع (ايمن الفرات)</t>
  </si>
  <si>
    <t>المصب العام</t>
  </si>
  <si>
    <t>الخميسية</t>
  </si>
  <si>
    <t>جدول ( 31)</t>
  </si>
  <si>
    <t>المساحة المؤهلة للاغمار (كم²)</t>
  </si>
  <si>
    <t>المساحة الكلية المغمورة للهور (كم²)</t>
  </si>
  <si>
    <t>المساحة المغمورة (كم²)</t>
  </si>
  <si>
    <t>السدود والبحيرات</t>
  </si>
  <si>
    <t>معدل كميات المياه الخام المسحوبة لمحطات أنتاج المياه (م³/ يوم)  *</t>
  </si>
  <si>
    <t xml:space="preserve">المصدر : وزارة الصحة - دائرة التخطيط وتنمية الموارد / قسم الإحصاء الصحي والحياتي </t>
  </si>
  <si>
    <t>المصدر : وزارة الإعمار والإسكان والبلديات العامة / المديرية العامة للماء / قسم السيطرة النوعية</t>
  </si>
  <si>
    <t xml:space="preserve">الاهوار الوسطى </t>
  </si>
  <si>
    <t xml:space="preserve"> ذي قار والبصرة</t>
  </si>
  <si>
    <t>جميع المحافظات</t>
  </si>
  <si>
    <t>2020 - 2021</t>
  </si>
  <si>
    <t xml:space="preserve">الاجمالي </t>
  </si>
  <si>
    <t>الأشهر (م³/ ثا)</t>
  </si>
  <si>
    <t>الاجمالي</t>
  </si>
  <si>
    <t>المناطق المؤثرة على النهر</t>
  </si>
  <si>
    <t xml:space="preserve">المصدر : وزارة البيئة /  دائرة التخطيط والمتابعة الفنية                                                                                                                                 </t>
  </si>
  <si>
    <t>نقطة الدخول محطة DI-2 (جلولاء)</t>
  </si>
  <si>
    <t xml:space="preserve">نقطة الدخول محطة E1 القائم </t>
  </si>
  <si>
    <t>المنطقة المحصورة من E7-E1 من الحدود حتى الفلوجة</t>
  </si>
  <si>
    <t>المنطقة المحصورة من E10-E1 من الحدود حتى مدينة الكفل</t>
  </si>
  <si>
    <t>المنطقة المحصورة من E15-E1 من الحدود حتى السماوة</t>
  </si>
  <si>
    <t>المنطقة المحصورة من E16-E1 من الحدود حتى الخضر</t>
  </si>
  <si>
    <t>المنطقة المحصورة من E19-E1 من الحدود حتى سوق الشيوخ</t>
  </si>
  <si>
    <t xml:space="preserve">المنطقة المحصورة من DI-5-DI-2 (بعقوبة DI-5)  </t>
  </si>
  <si>
    <t>تركيز الكلوريدات (ملغم / لتر) ــ النسبة المئوية للزيادة</t>
  </si>
  <si>
    <t>تركيز العسرة الكلية (ملغم / لتر) ــ النسبة المئوية للزيادة</t>
  </si>
  <si>
    <t>تركيز الكبريتات (ملغم / لتر) ــ النسبة المئوية للزيادة</t>
  </si>
  <si>
    <t>تركيز المواد الصلبة الذائبة (ملغم / لتر) ــ النسبة المئوية للزيادة</t>
  </si>
  <si>
    <t>النسبة المئوية للاغمار (%)</t>
  </si>
  <si>
    <t>الاهوار الوسطى</t>
  </si>
  <si>
    <t>هور الحمّار</t>
  </si>
  <si>
    <t xml:space="preserve">المنطقة المحصورة من DI-7-DI-2 (جسر ديالى القديم DI-7)  </t>
  </si>
  <si>
    <t xml:space="preserve">الفصل الاول </t>
  </si>
  <si>
    <t xml:space="preserve">الفصل الثاني </t>
  </si>
  <si>
    <t xml:space="preserve">الفصل الثالث </t>
  </si>
  <si>
    <t xml:space="preserve">الفصل الرابع </t>
  </si>
  <si>
    <t>TH</t>
  </si>
  <si>
    <t>عفكs1</t>
  </si>
  <si>
    <t>عفكs2</t>
  </si>
  <si>
    <t>عفكs3</t>
  </si>
  <si>
    <t>عفكs4</t>
  </si>
  <si>
    <t>T.D.S</t>
  </si>
  <si>
    <t>DO</t>
  </si>
  <si>
    <t>pH</t>
  </si>
  <si>
    <t>Turb</t>
  </si>
  <si>
    <t>ALK</t>
  </si>
  <si>
    <t>EC</t>
  </si>
  <si>
    <t>DH1</t>
  </si>
  <si>
    <t>DH2</t>
  </si>
  <si>
    <t>DH3</t>
  </si>
  <si>
    <t>DH4</t>
  </si>
  <si>
    <t xml:space="preserve">المصدر : وزارة  البيئة - دائرة التخطيط والمتابعة الفنية </t>
  </si>
  <si>
    <t xml:space="preserve">ابو سوباط </t>
  </si>
  <si>
    <t xml:space="preserve">العملاق </t>
  </si>
  <si>
    <t xml:space="preserve">ابو زرك </t>
  </si>
  <si>
    <t xml:space="preserve">هور السناف </t>
  </si>
  <si>
    <t>الشافي</t>
  </si>
  <si>
    <t>بداية الحفار</t>
  </si>
  <si>
    <t>منتصف الزركي</t>
  </si>
  <si>
    <t>الدباب</t>
  </si>
  <si>
    <t xml:space="preserve">الشافي </t>
  </si>
  <si>
    <t xml:space="preserve"> الأهوار الوسطى</t>
  </si>
  <si>
    <t>s5عفك</t>
  </si>
  <si>
    <t xml:space="preserve">mg/l </t>
  </si>
  <si>
    <t>D.O.</t>
  </si>
  <si>
    <r>
      <t>SO</t>
    </r>
    <r>
      <rPr>
        <b/>
        <sz val="8"/>
        <color rgb="FF000000"/>
        <rFont val="Arial"/>
        <family val="2"/>
      </rPr>
      <t>4</t>
    </r>
  </si>
  <si>
    <r>
      <t>PO</t>
    </r>
    <r>
      <rPr>
        <b/>
        <sz val="8"/>
        <color rgb="FF000000"/>
        <rFont val="Arial"/>
        <family val="2"/>
      </rPr>
      <t>4</t>
    </r>
  </si>
  <si>
    <r>
      <t>NO</t>
    </r>
    <r>
      <rPr>
        <b/>
        <sz val="8"/>
        <color rgb="FF000000"/>
        <rFont val="Arial"/>
        <family val="2"/>
      </rPr>
      <t>3</t>
    </r>
  </si>
  <si>
    <t>mg/l</t>
  </si>
  <si>
    <t>إجمالي التجهيز    (مليار م³ / سنة)</t>
  </si>
  <si>
    <t xml:space="preserve">المصدر : 1.  وزارة الإعمار والإسكان والبلديات العامة / مديريات الماء في المحافظات                                                                                                                               </t>
  </si>
  <si>
    <t>جدول (28 أ)</t>
  </si>
  <si>
    <t>جدول (28 ب)</t>
  </si>
  <si>
    <t>جدول (28 ج)</t>
  </si>
  <si>
    <t>تابع / جدول (28 ب)</t>
  </si>
  <si>
    <t>المعدل السنوي : مجموع اشهر السنة / 12</t>
  </si>
  <si>
    <t>معدل كمية المياه المجهزّة للسكان (الماء المباع) الصالحة للشرب (م³/ يوم) ***</t>
  </si>
  <si>
    <t>مجموع معدلات كميات المياه المنتجة (الطاقة الفعلية)</t>
  </si>
  <si>
    <t>الواردات المائية لنهر دجلة وروافده ونهر الفرات للسنة المائية (2021-2022) حسب الأشهر</t>
  </si>
  <si>
    <t>كميات المياه المجهزّة للإستخدامات (الزراعية، المنزلية، الصناعية والبيئية) للسنة المائية (2021-2022)  والنسبة المئوية للإستخدامات حسب المحافظة</t>
  </si>
  <si>
    <t xml:space="preserve">عدد محطات إنتاج المياه الصالحة للشرب حسب النوع والحالة العملية والمحافظة لسنة 2022 </t>
  </si>
  <si>
    <t xml:space="preserve">معدل كميات المياه الخام المسحوبة من المياه السطحية والجوفية لمحطات إنتاج المياه ونسبها المئوية وكمية المياه المسحوبة من المشاريع والمجمعات المائية لمحطات تحلية المياه حسب النوع والمحافظة لسنة 2022 </t>
  </si>
  <si>
    <t xml:space="preserve">معدل كميات المياه المنتجة من محطات إنتاج المياه ونسبها المئوية حسب النوع والمحافظة لسنة 2022 </t>
  </si>
  <si>
    <t>كمية المياه الخام الكلية والمنتجة ونسبة ومعدل كميات المياه المفقودة أثناء النقل بشبكة توزيع المياه وكمية المياه الموزّعة مجاناً والمباعة حسب المحافظة لسنة 2022</t>
  </si>
  <si>
    <t xml:space="preserve">عدد ونسبة السكان المخدومين بشبكات توزيع المياه الصالحة للشرب حسب البيئة والمحافظة لسنة 2022 </t>
  </si>
  <si>
    <t>عدد السكان الكلي والحاجة التقديرية لكمية المياه الصالحة للشرب حسب البيئة والمحافظة لسنة 2022</t>
  </si>
  <si>
    <t>التوزيع النسبي لكمية المياه الصالحة للشرب المنتجة والموّزعة حسب القطاع والمحافظة لسنة 2022</t>
  </si>
  <si>
    <t>النسب المئوية لأهم المشاكل التي يعاني منها قطاع المياه في المحافظات لسنة 2022</t>
  </si>
  <si>
    <t>عدد النماذج البكتريولوجية المفحوصة والفاشلة لمياه الشرب ونسبتها المئوية حسب المحافظة لسنة 2022</t>
  </si>
  <si>
    <t>الحدود الدنيا والعليا ومعدل الفحوصات البكتريولوجية لماء نهر دجلة عند مآخذ مشاريع دائرة ماء بغداد لسنة 2022</t>
  </si>
  <si>
    <t xml:space="preserve">   الحدود الدنيا والعليا والمعدل لنتائج الفحوصات الكيمياوية والفيزياوية لماء النهر والشرب لمشاريع دائرة ماء بغداد لسنة 2022</t>
  </si>
  <si>
    <t xml:space="preserve"> الحدود الدنيا والعليا والمعدل لنتائج الفحوصات الكيمياوية والفيزياوية للماء الخام والشرب حسب المحافظة لسنة 2022 </t>
  </si>
  <si>
    <t>عمل المحطات المائية بأكثر من طاقتها التصميمية</t>
  </si>
  <si>
    <t>الأنبار ، بابل ، القادسية ، المثنى ، ذي قار والبصرة</t>
  </si>
  <si>
    <t xml:space="preserve"> واسط</t>
  </si>
  <si>
    <t>جميع المحافظات عدا الأنبار وأمانة بغداد</t>
  </si>
  <si>
    <t>ديالى ، الأنبار ، أمانة بغداد ، بابل ، واسط ، ذي قار ، ميسان والبصرة</t>
  </si>
  <si>
    <t>(2022-2021)</t>
  </si>
  <si>
    <t xml:space="preserve">نصيب الفرد من واردات نهر دجلة وروافده ونهر الفرات للسنوات المائية من (2010 ـــ 2011) الى (2021-2022) </t>
  </si>
  <si>
    <t>معدل التصاريف المجهّزة للأحواض لمختلف الأغراض خلال السنة المائية (2021-2022) مقارنة مع السنة المائية (2020-2021) حسب الأشهر</t>
  </si>
  <si>
    <t>2021 - 2022</t>
  </si>
  <si>
    <t xml:space="preserve">كمية الأمطار الساقطة لمواقع منتخبة ومقارنتها بالمعدل العام خلال السنة المائية (2021-2022) حسب الأشهر </t>
  </si>
  <si>
    <t xml:space="preserve">         المجموع الشهري لكمية الأمطار الساقطة خلال السنة المائية (2021-2022)</t>
  </si>
  <si>
    <t xml:space="preserve">كمية التبخر من السدود والخزانات حسب الأشهر للسنة المائية (2021-2022) </t>
  </si>
  <si>
    <t xml:space="preserve">مناسيب الخزن المتحققة في السدود والبحيرات (الخزانات) بتاريخ 2022/10/1 مقارنة مع نفس التاريخ لسنة 2021 </t>
  </si>
  <si>
    <t>المتحقق في 2022/10/1</t>
  </si>
  <si>
    <t>مساحات ونسب الإغمار للأهوار حسب المحافظة لسنة 2022</t>
  </si>
  <si>
    <t>كمية المياه الداخلة الى الأهوار لسنة 2022</t>
  </si>
  <si>
    <t>المعدل الشهري لمغذيات الاهوار لسنة 2022</t>
  </si>
  <si>
    <t>جدول (32 أ)</t>
  </si>
  <si>
    <t>جدول (32 ب)</t>
  </si>
  <si>
    <t>جدول (32 ج)</t>
  </si>
  <si>
    <t>نتائج الفحوصات لعينات مياه أهوار محافظة القادسية لسنة 2022</t>
  </si>
  <si>
    <t xml:space="preserve">                   نتائج الفحوصات لعينات مياه أهوار محافظة واسط  لسنة 2022                                        </t>
  </si>
  <si>
    <t>نتائج الفحوصات لعينات مياه أهوار محافظة واسط  لسنة 2022</t>
  </si>
  <si>
    <t>نتائج الفحوصات لعينات مياه أهوار محافظة ذي قار لسنة 2022</t>
  </si>
  <si>
    <t>نتائج الفحوصات لعينات مياه أهوار محافظة البصرة لسنة 2022</t>
  </si>
  <si>
    <t>جدول (33 أ)</t>
  </si>
  <si>
    <t>تابع / جدول (33 أ)</t>
  </si>
  <si>
    <t>جدول (33 ب)</t>
  </si>
  <si>
    <t>تابع / جدول (33 ب)</t>
  </si>
  <si>
    <t>جدول (33 ج)</t>
  </si>
  <si>
    <t>تابع / جدول (33 ج)</t>
  </si>
  <si>
    <t xml:space="preserve"> جدول (33 د)</t>
  </si>
  <si>
    <t xml:space="preserve"> تابع / جدول (33 د)</t>
  </si>
  <si>
    <t xml:space="preserve">هور الحّمار </t>
  </si>
  <si>
    <r>
      <rPr>
        <b/>
        <sz val="10"/>
        <rFont val="Arial"/>
        <family val="2"/>
      </rPr>
      <t>ك</t>
    </r>
    <r>
      <rPr>
        <b/>
        <sz val="8"/>
        <rFont val="Arial"/>
        <family val="2"/>
      </rPr>
      <t>2</t>
    </r>
  </si>
  <si>
    <r>
      <t xml:space="preserve">ت </t>
    </r>
    <r>
      <rPr>
        <b/>
        <sz val="8"/>
        <rFont val="Arial"/>
        <family val="2"/>
      </rPr>
      <t>2</t>
    </r>
  </si>
  <si>
    <t>المشرح (الاعمى)</t>
  </si>
  <si>
    <t>الكحلاء</t>
  </si>
  <si>
    <t xml:space="preserve">لم تؤخذ الضائعات المائية الناتجة عن جريان المياه والنتح والتبخر الناتج عن إرتفاع درجات الحرارة صيفاً والرشح بنظر الاعتبار </t>
  </si>
  <si>
    <t xml:space="preserve">هطول الامطار ومياه المبازل والصرف الصحي التي تصب في الانهر وتأثر شط العرب بظاهرتي المد والجزر والسيول الواردة من الحدود الشرقية والغربية </t>
  </si>
  <si>
    <t xml:space="preserve"> (م³/ساعة)</t>
  </si>
  <si>
    <t xml:space="preserve">معدل الطاقات المتاحة </t>
  </si>
  <si>
    <t xml:space="preserve"> معدل كميات المياه المنتجة </t>
  </si>
  <si>
    <t xml:space="preserve"> كركوك ، ديالى، النجف ، ذي قار ، ميسان  والبصرة</t>
  </si>
  <si>
    <t>جميع المحافظات عدا كربلاء والقادسية</t>
  </si>
  <si>
    <t>عدد ونسبة المجمعات المائية والطاقات التصميمية والمتاحة والمنتجة والمياه الخام المسحوبة حسب المحافظة لسنة 2022</t>
  </si>
  <si>
    <t>عدد ونسبة محطات تحلية المياه (RO) والطاقات التصميمية والمتاحة والمنتجة والمياه الخام المسحوبة حسب المحافظة لسنة 2022</t>
  </si>
  <si>
    <t>عدد ونسبة الآبار ومحطات إنتاج المياه المنصوبة على الآبار والطاقات التصميمية والمتاحة والمنتجة والمياه الخام المسحوبة حسب المحافظة لسنة 2022</t>
  </si>
  <si>
    <t xml:space="preserve">   عدد ونسبة المحطات العاملة بالطاقة الشمسية والطاقات التصميمية والمتاحة والمنتجة والمياه الخام المسحوبة حسب المحافظة لسنة 2022</t>
  </si>
  <si>
    <t>جدول (21)</t>
  </si>
  <si>
    <t>جدول (20)</t>
  </si>
  <si>
    <t>جدول (18)</t>
  </si>
  <si>
    <t>جدول (17)</t>
  </si>
  <si>
    <t>جدول (22)</t>
  </si>
  <si>
    <t>ديالى، أطراف بغداد، بابل، واسط ، النجف، القادسية، المثنى، ذي قار، ميسان والبصرة</t>
  </si>
  <si>
    <t>جميع المحافظات عدا أمانة بغداد، كربلاء، واسط وميسان</t>
  </si>
  <si>
    <t>بابل ، ذي قار والبصرة</t>
  </si>
  <si>
    <t>نينوى، ديالى، صلاح الدين والبصرة</t>
  </si>
  <si>
    <t>ملاحظة : مجموع الطاقة التصميمية (م³/ يوم) هو مجموع الطاقة التصميمية بـ (م³/ ساعة) مضروباً بـ (24) ساعة والتي صممت المحطة على اساسها</t>
  </si>
  <si>
    <t xml:space="preserve">جميع المحافظات عدا كركوك، ديالى وأمانة بغداد </t>
  </si>
  <si>
    <t>* عدد السكان حسب تقديرات الجهاز المركزي للاحصاء بضمنها إقليم كردستان</t>
  </si>
  <si>
    <t>المجموع السنوي (ملم)</t>
  </si>
  <si>
    <t>المعدل العام         (ملم)</t>
  </si>
  <si>
    <t>النسبة %</t>
  </si>
  <si>
    <t xml:space="preserve">كمية المياه الواردة والمطلقة من البحيرات والسدود حسب الأشهر للسنة المائية (2021-2022) </t>
  </si>
  <si>
    <t>(مليون م³)</t>
  </si>
  <si>
    <t>المعدل الشهري للتصاريف الواردة للأهوار لسنة 2022</t>
  </si>
  <si>
    <t>(م³/ثا)</t>
  </si>
  <si>
    <t xml:space="preserve">هور الحمّار </t>
  </si>
  <si>
    <t>عدد ونسبة مشاريع المياه والطاقات التصميمية والمتاحة والمنتجة والمياه الخام المسحوبة حسب المحافظة لسنة 2022</t>
  </si>
  <si>
    <t xml:space="preserve">* ** المجموع الكلي لكمية المياه المجهزّة = مجموع كميات المياه المنتجة - كمية المياه المفقودة (الضياعات) - كمية المياه الموزعة مجاناً </t>
  </si>
  <si>
    <t>* *  المجموع الكلي لكمية المياه المنتجة = مجموع الكميات المنتجة من (المشاريع + المجمعات المائية + محطات تحلية المياه (RO) + محطات إنتاج المياه المنصوبة على الأبار + المحطات العاملة بالطاقة الشمسية - كمية المياه الخام المسحوبة من المشاريع والمجمعات المائية لمحطات التحلية)</t>
  </si>
  <si>
    <t>عدد السكان الكلي ومعدل كميات المياه الصالحة للشرب المجهزة للسكان والمنتجة الكلية ومتوسط نصيب الفرد منها حسب البيئة والمحافظة لسنة 2022</t>
  </si>
  <si>
    <t>متوسط نصيب الفرد من المياه الكلية المنتجة (الماء المباع + الموّزع مجاناً) للسكان الكلي (لتر/ يوم)</t>
  </si>
  <si>
    <t>معدل كميات المياه المجهزّة للسكان وعدد السكان المخدومين بشبكات توزيع المياه الصالحة للشرب ومتوسط نصيب الفرد من المياه المجهزّة للسكان المخدومين حسب البيئة والمحافظة لسنة 2022</t>
  </si>
  <si>
    <t>الحاجة التقديرية = عدد السكان في الحضر أو الريف الكلي X متوسط نصيب الفرد في الحضر (350) لتر أو الريف (250) لتر مقسوماً على 1000</t>
  </si>
  <si>
    <t>الوارد السنوي = المعدل السنوي * 60 ثانية *60 دقيقة *24 ساعة *365 يوم / 1000000000</t>
  </si>
  <si>
    <r>
      <t>نوع الإستخدام (م</t>
    </r>
    <r>
      <rPr>
        <b/>
        <sz val="6"/>
        <color theme="1"/>
        <rFont val="Arial"/>
        <family val="2"/>
      </rPr>
      <t xml:space="preserve">3 </t>
    </r>
    <r>
      <rPr>
        <b/>
        <sz val="10"/>
        <color theme="1"/>
        <rFont val="Arial"/>
        <family val="2"/>
      </rPr>
      <t>/ سنة)</t>
    </r>
  </si>
  <si>
    <t>المعدل (م³/ ثا)</t>
  </si>
  <si>
    <t>الكمية (مليار م³)</t>
  </si>
  <si>
    <t>3513. 3</t>
  </si>
  <si>
    <t>253. 3</t>
  </si>
  <si>
    <t>نتائج الفحوصات لعينات مياه أهوار محافظة ميسان لسنة 2022</t>
  </si>
  <si>
    <t xml:space="preserve"> جدول (33 هـ)</t>
  </si>
  <si>
    <t xml:space="preserve"> تابع / جدول (33 هـ)</t>
  </si>
  <si>
    <t>بركة ام النعاج 1</t>
  </si>
  <si>
    <t>بركة ام النعاج 2</t>
  </si>
  <si>
    <t>ناحية ام الخير</t>
  </si>
  <si>
    <t>نهر عودة</t>
  </si>
  <si>
    <t>اسباب التأثير في الزيادة او النقصان</t>
  </si>
  <si>
    <t xml:space="preserve">المنطقة المحصورة من نقطة الدخول للاراضي العراقية  (T3) وحتى تكريت/مشروع تكريت الموحد  (T13 ) </t>
  </si>
  <si>
    <t>المنطقة المحصورة من نقطة الدخول للاراضي العراقية  (T3) وحتى محطة رصد جسر الائمة (T18)</t>
  </si>
  <si>
    <t xml:space="preserve">المنطقة المحصورة من نقطة الدخول للاراضي العراقية  (T3) وحتى محطة ماخذ مشروع ماء الوردية  (T24) </t>
  </si>
  <si>
    <t>المنطقة المحصورة من نقطة الدخول للاراضي العراقية  (T3) وحتى محطة مجمع ماء الكرامة (T28)</t>
  </si>
  <si>
    <t>المنطقة المحصورة من نقطة الدخول للاراضي العراقية  (T3) وحتى محطة قرب مجمع الوحدة العربية (T31) جنوب مدينة العمارة</t>
  </si>
  <si>
    <t xml:space="preserve">المنطقة المحصورة من نقطة الدخول للاراضي العراقية  (T3) وحتى محطة (T34) مدينة القرنة </t>
  </si>
  <si>
    <t xml:space="preserve">المنطقة المحصورة من نقطة الدخول للاراضي العراقية  (T3) قصبة بادوش </t>
  </si>
  <si>
    <r>
      <t xml:space="preserve">بزيادة قدرها </t>
    </r>
    <r>
      <rPr>
        <sz val="12"/>
        <color theme="1"/>
        <rFont val="Calibri"/>
        <family val="2"/>
        <scheme val="minor"/>
      </rPr>
      <t>(0.67%)</t>
    </r>
    <r>
      <rPr>
        <sz val="12"/>
        <color theme="1"/>
        <rFont val="Sultan normal"/>
      </rPr>
      <t xml:space="preserve"> نتيجة للتاثير السيء لمخلفات الصرف الصحي والمخلفات الصناعية وتأثير الاراضي المحيطة بالنهر </t>
    </r>
  </si>
  <si>
    <r>
      <t xml:space="preserve">بزيادة قدرها </t>
    </r>
    <r>
      <rPr>
        <sz val="12"/>
        <color theme="1"/>
        <rFont val="Calibri"/>
        <family val="2"/>
        <scheme val="minor"/>
      </rPr>
      <t>(21.63%)</t>
    </r>
    <r>
      <rPr>
        <sz val="12"/>
        <color theme="1"/>
        <rFont val="Sultan normal"/>
      </rPr>
      <t xml:space="preserve"> نتيجة للتاثير السيء لذراع ثرثار دجلة على نهر دجلة وهذا يعني زيادة التركيز عن المنطقة التي سبقتها  </t>
    </r>
  </si>
  <si>
    <t>أي بزيادة قدرها (39.08%) عن المنطقة التي سبقتها نتيجة لتاثير المنطقة المحصورة من مدينة الكوت وحتى محافظة ميسان مدين قلعة صالح وهذه تعني تأثير مبازل شرق دجلة ومخلفات المدن (مخلفات الصرف الصحي اضافة الى المخلفات الصناعية ومخلفات الاراضي) ضمن  هذه المنطقة اضافة لتأثير الملوثات نتيجة لانخفاض تصاريف النهر في هذه المنطقة</t>
  </si>
  <si>
    <t>بزيادة قدرها (2.89%) عن المنطقة التي سبقتها نتيجة لتاثير المنطقة المحصورة من جنوب بغداد وحتى مدينة الكوت وهذا يعني تأثير نهر ديالى (ومايجلبه معه من مخلفات الصرف الصحي) ومبازل النهروان على نهر دجلة اضافة لتأثير الملوثات نتيجة لانخفاض تصاريف النهر في هذه المنطقة</t>
  </si>
  <si>
    <r>
      <t xml:space="preserve">بزيادة قدرها </t>
    </r>
    <r>
      <rPr>
        <sz val="12"/>
        <color theme="1"/>
        <rFont val="Calibri"/>
        <family val="2"/>
        <scheme val="minor"/>
      </rPr>
      <t>(64.25%)</t>
    </r>
    <r>
      <rPr>
        <sz val="12"/>
        <color theme="1"/>
        <rFont val="Sultan normal"/>
      </rPr>
      <t xml:space="preserve"> نتيجة لتاثير مخلفات مدينة بغداد (الصرف الصحي والمخلفات الصناعية والاراضي المحيطة بالنهر) على نهر دجلة أي عن المنطقة التي سبقتها  </t>
    </r>
  </si>
  <si>
    <t>تابع / جدول (32 أ)</t>
  </si>
  <si>
    <t>ـ يتبع ـ</t>
  </si>
  <si>
    <t>منطقة الدخول لنهر الفرات الى الاراضي العراقية</t>
  </si>
  <si>
    <r>
      <t xml:space="preserve">زيادة نسبة الكبريتات نتيجة للعيون الكبريتية لمدينة هيت وكذلك نتيجة لتأثير بحيرة الحبانية والثرثار على النهر بمقدار </t>
    </r>
    <r>
      <rPr>
        <b/>
        <sz val="10"/>
        <color rgb="FF000000"/>
        <rFont val="Arial"/>
        <family val="2"/>
      </rPr>
      <t>(</t>
    </r>
    <r>
      <rPr>
        <b/>
        <sz val="10"/>
        <color rgb="FF000000"/>
        <rFont val="Times New Roman"/>
        <family val="1"/>
      </rPr>
      <t>26.91%) ومخلفات الارض والمدن</t>
    </r>
  </si>
  <si>
    <r>
      <t xml:space="preserve">مخلفات ( الارض والنشاط البشري ) والمبازل المصرفة الى النهر مع زيادة بمقدار </t>
    </r>
    <r>
      <rPr>
        <b/>
        <sz val="10"/>
        <color rgb="FF000000"/>
        <rFont val="Times New Roman"/>
        <family val="1"/>
      </rPr>
      <t>(61.97%) عن المنطقة التي سبقتها E7</t>
    </r>
  </si>
  <si>
    <r>
      <t xml:space="preserve">مخلفات ( الارض والنشاط البشري ) والمبازل المصرفة الى النهر مع زيادة بمقدار </t>
    </r>
    <r>
      <rPr>
        <b/>
        <sz val="10"/>
        <color rgb="FF000000"/>
        <rFont val="Times New Roman"/>
        <family val="1"/>
      </rPr>
      <t>(90.26%) عن E10</t>
    </r>
  </si>
  <si>
    <r>
      <t xml:space="preserve">مخلفات ( الارض والنشاط البشري ) والمبازل المصرفة الى النهر اضافة الى شحة المياه في النهر وتأثير الملوثات السلبي على نوعية مياه النهر مع زيادة بمقدار </t>
    </r>
    <r>
      <rPr>
        <b/>
        <sz val="10"/>
        <color rgb="FF000000"/>
        <rFont val="Times New Roman"/>
        <family val="1"/>
      </rPr>
      <t>(5.19%) عن E15</t>
    </r>
  </si>
  <si>
    <r>
      <t xml:space="preserve">مخلفات ( الارض والنشاط البشري ) والمبازل المصرفة الى النهر اضافة الى شحة المياه في النهر وتأثير الملوثات السلبي على نوعية مياه النهر مع زيادة بمقدار </t>
    </r>
    <r>
      <rPr>
        <b/>
        <sz val="10"/>
        <color rgb="FF000000"/>
        <rFont val="Times New Roman"/>
        <family val="1"/>
      </rPr>
      <t>(35.43%) عن المنطقة التي سبقتها E16</t>
    </r>
  </si>
  <si>
    <r>
      <t xml:space="preserve">مخلفات ( الارض والنشاط البشري ) والمبازل المصرفة الى النهر اضافة الى شحة المياه في النهر وتأثير الملوثات السلبي على نوعية مياه النهر مع نقصان بمقدار </t>
    </r>
    <r>
      <rPr>
        <b/>
        <sz val="10"/>
        <color rgb="FF000000"/>
        <rFont val="Times New Roman"/>
        <family val="1"/>
      </rPr>
      <t>(79.54%) عن المنطقة التي سبقتها E19</t>
    </r>
  </si>
  <si>
    <t xml:space="preserve">المنطقة المحصورة من E21-E1 من الحدود حتى  منطقة الهارثة قبل التقائه بشط العرب </t>
  </si>
  <si>
    <t>منطقة متقدمة على نهر ديالى</t>
  </si>
  <si>
    <t xml:space="preserve">اوضحت التراكيز في زيادته أو نقصانه الطبيعي نتيجة التأثير للمنطقة المحصورة بين جلولاء وبعقوبة اضافة لتأثير مخلفات مدينة بعقوبة وبزيادة مقدارها (294.91%) </t>
  </si>
  <si>
    <r>
      <t>نتيجة لتأثير مخلفات محطة الرستمية على النهر وزيادة حدة التأثر لنوعية المياه بالمخلفات نتيجة لانخفاض المستوى المائي في النهر مع نقصان بمقدار</t>
    </r>
    <r>
      <rPr>
        <b/>
        <sz val="10"/>
        <color theme="1"/>
        <rFont val="Times New Roman"/>
        <family val="1"/>
      </rPr>
      <t xml:space="preserve"> (-0.43%) عن المنطقة التي سبقتها (DI-5) </t>
    </r>
  </si>
  <si>
    <t xml:space="preserve">المنطقة المحصورة من نقطة الدخول للاراضي العراقية  (T3) وحتى  قضاء الموصل /جسر الاحرار (T6) </t>
  </si>
  <si>
    <t>تراكيز الكلوريدات والكبريتات والعسرة الكلية والمواد الصلبة الذائبة في نهر دجلة والنسبة المئوية للزيادة مقارنة مع نقطة الدخول إلى الأراضي العراقية لسنة 2022</t>
  </si>
  <si>
    <t xml:space="preserve">أي بنقصان قدره (2.44%) عن المنطقة التي سبقتها نتيجة لتأثير المنطقة المحصورة من مدينة قلعة صالح وحتى محافظة البصرة مدينة القرنة وهذه تعني تاثير مبازل شرق دجلة ومخلفات المدن ضمن هذه المنطقة اضافة للتأثير التراكمي للملوثات مع انخفاض المنسوب عند الاتجاه جنوباً </t>
  </si>
  <si>
    <t xml:space="preserve">اي بزيادة قدرها (82.46%)عن المنطقة التي سبقتها نتيجة لتأثير المنطقة المحصورة من مدينة قلعة صالح وحتي محافظة البصرة مدينة القرنة وهذه تعني تأثير مبازل شرق دجلة ومخلفات المدن ضمن هذه المنطقة اضافة للتأثير التراكمي للملوثات مع انخفاض المنسوب عند الاتجاه جنوباً </t>
  </si>
  <si>
    <t>تراكيز الكلوريدات والكبريتات والعسرة الكلية والمواد الصلبة الذائبة في نهر الفرات والنسبة المئوية للزيادة مقارنة مع نقطة الدخول إلى الأراضي العراقية لسنة 2022</t>
  </si>
  <si>
    <t>تراكيز الكلوريدات والكبريتات والعسرة الكلية والمواد الصلبة الذائبة في نهر ديالى والنسبة المئوية للزيادة مقارنة مع نقطة الدخول إلى الأراضي العراقية لسنة 2022</t>
  </si>
  <si>
    <t>اسباب التأثيرعلى النهر</t>
  </si>
  <si>
    <t>Nil</t>
  </si>
  <si>
    <t>المواد العالقة الصلبة</t>
  </si>
  <si>
    <t xml:space="preserve">   ــ فحص المواد العالقة الصلبة يجرى لماء النهر فقط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</si>
</sst>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_(* \(#,##0.00\);_(* &quot;-&quot;??_);_(@_)"/>
    <numFmt numFmtId="164" formatCode="_-* #,##0.00_-;\-* #,##0.00_-;_-* &quot;-&quot;??_-;_-@_-"/>
    <numFmt numFmtId="165" formatCode="0.0"/>
    <numFmt numFmtId="166" formatCode="_(* #,##0_);_(* \(#,##0\);_(* &quot;-&quot;??_);_(@_)"/>
    <numFmt numFmtId="167" formatCode="_(* #,##0.0_);_(* \(#,##0.0\);_(* &quot;-&quot;??_);_(@_)"/>
    <numFmt numFmtId="168" formatCode="#,##0.0"/>
    <numFmt numFmtId="169" formatCode="_-* #,##0_-;\-* #,##0_-;_-* &quot;-&quot;??_-;_-@_-"/>
    <numFmt numFmtId="170" formatCode="_-* #,##0.0_-;\-* #,##0.0_-;_-* &quot;-&quot;??_-;_-@_-"/>
    <numFmt numFmtId="171" formatCode="#,##0.000"/>
    <numFmt numFmtId="172" formatCode="#,##0.0000"/>
  </numFmts>
  <fonts count="70">
    <font>
      <sz val="11"/>
      <color theme="1"/>
      <name val="Calibri"/>
      <family val="2"/>
      <scheme val="minor"/>
    </font>
    <font>
      <b/>
      <sz val="11"/>
      <color theme="1"/>
      <name val="Calibri"/>
      <family val="2"/>
      <scheme val="minor"/>
    </font>
    <font>
      <b/>
      <sz val="12"/>
      <color theme="1"/>
      <name val="Arial"/>
      <family val="2"/>
    </font>
    <font>
      <b/>
      <sz val="11"/>
      <color theme="1"/>
      <name val="Times New Roman"/>
      <family val="1"/>
    </font>
    <font>
      <b/>
      <sz val="10"/>
      <name val="Arial"/>
      <family val="2"/>
    </font>
    <font>
      <b/>
      <sz val="10"/>
      <name val="Simplified Arabic"/>
      <family val="1"/>
    </font>
    <font>
      <b/>
      <sz val="9"/>
      <name val="Times New Roman"/>
      <family val="1"/>
    </font>
    <font>
      <b/>
      <sz val="10"/>
      <name val="Times New Roman"/>
      <family val="1"/>
    </font>
    <font>
      <b/>
      <sz val="9"/>
      <name val="Arial"/>
      <family val="2"/>
    </font>
    <font>
      <b/>
      <sz val="9"/>
      <color theme="1"/>
      <name val="Arial"/>
      <family val="2"/>
    </font>
    <font>
      <b/>
      <sz val="10"/>
      <color theme="1"/>
      <name val="Arial"/>
      <family val="2"/>
    </font>
    <font>
      <b/>
      <sz val="10"/>
      <color theme="1"/>
      <name val="Times New Roman"/>
      <family val="1"/>
    </font>
    <font>
      <b/>
      <sz val="12"/>
      <name val="Arial"/>
      <family val="2"/>
    </font>
    <font>
      <sz val="11"/>
      <color theme="1"/>
      <name val="Calibri"/>
      <family val="2"/>
      <scheme val="minor"/>
    </font>
    <font>
      <b/>
      <sz val="9"/>
      <name val="Simplified Arabic"/>
      <family val="1"/>
    </font>
    <font>
      <b/>
      <sz val="10"/>
      <color indexed="8"/>
      <name val="Arial"/>
      <family val="2"/>
    </font>
    <font>
      <b/>
      <sz val="9"/>
      <color indexed="8"/>
      <name val="Arial"/>
      <family val="2"/>
    </font>
    <font>
      <b/>
      <sz val="10"/>
      <color indexed="8"/>
      <name val="Times New Roman"/>
      <family val="1"/>
    </font>
    <font>
      <b/>
      <sz val="9"/>
      <color indexed="8"/>
      <name val="Simplified Arabic"/>
      <family val="1"/>
    </font>
    <font>
      <sz val="11"/>
      <color indexed="8"/>
      <name val="Arial"/>
      <family val="2"/>
    </font>
    <font>
      <b/>
      <sz val="10"/>
      <color indexed="8"/>
      <name val="Simplified Arabic"/>
      <family val="1"/>
    </font>
    <font>
      <sz val="10"/>
      <color indexed="8"/>
      <name val="Arial"/>
      <family val="2"/>
    </font>
    <font>
      <b/>
      <sz val="8"/>
      <name val="Simplified Arabic"/>
      <family val="1"/>
    </font>
    <font>
      <b/>
      <sz val="12"/>
      <name val="Simplified Arabic"/>
      <family val="1"/>
    </font>
    <font>
      <sz val="10"/>
      <name val="Times New Roman"/>
      <family val="1"/>
    </font>
    <font>
      <b/>
      <sz val="9"/>
      <color theme="1"/>
      <name val="Times New Roman"/>
      <family val="1"/>
    </font>
    <font>
      <b/>
      <sz val="11"/>
      <color indexed="8"/>
      <name val="Arial"/>
      <family val="2"/>
    </font>
    <font>
      <sz val="11"/>
      <color theme="1"/>
      <name val="Times New Roman"/>
      <family val="1"/>
    </font>
    <font>
      <sz val="11"/>
      <color theme="1"/>
      <name val="Arial"/>
      <family val="2"/>
    </font>
    <font>
      <b/>
      <sz val="8"/>
      <name val="Times New Roman"/>
      <family val="1"/>
    </font>
    <font>
      <sz val="9"/>
      <color theme="1"/>
      <name val="Times New Roman"/>
      <family val="1"/>
    </font>
    <font>
      <b/>
      <sz val="11"/>
      <name val="Arial"/>
      <family val="2"/>
    </font>
    <font>
      <b/>
      <sz val="11"/>
      <color rgb="FFFF0000"/>
      <name val="Calibri"/>
      <family val="2"/>
      <scheme val="minor"/>
    </font>
    <font>
      <b/>
      <sz val="12"/>
      <color indexed="8"/>
      <name val="Arial"/>
      <family val="2"/>
    </font>
    <font>
      <b/>
      <sz val="11"/>
      <color indexed="8"/>
      <name val="Simplified Arabic"/>
      <family val="1"/>
    </font>
    <font>
      <b/>
      <sz val="10"/>
      <color indexed="8"/>
      <name val="Cambria"/>
      <family val="1"/>
      <scheme val="major"/>
    </font>
    <font>
      <sz val="11"/>
      <color indexed="8"/>
      <name val="Cambria"/>
      <family val="1"/>
      <scheme val="major"/>
    </font>
    <font>
      <b/>
      <sz val="11"/>
      <color indexed="8"/>
      <name val="Cambria"/>
      <family val="1"/>
      <scheme val="major"/>
    </font>
    <font>
      <b/>
      <sz val="9"/>
      <color indexed="8"/>
      <name val="Calibri"/>
      <family val="2"/>
      <scheme val="minor"/>
    </font>
    <font>
      <sz val="11"/>
      <name val="Arial"/>
      <family val="2"/>
    </font>
    <font>
      <b/>
      <sz val="10"/>
      <color theme="1"/>
      <name val="Calibri"/>
      <family val="2"/>
      <scheme val="minor"/>
    </font>
    <font>
      <b/>
      <sz val="11"/>
      <color indexed="8"/>
      <name val="Times New Roman"/>
      <family val="1"/>
    </font>
    <font>
      <b/>
      <strike/>
      <sz val="9"/>
      <name val="Arial"/>
      <family val="2"/>
    </font>
    <font>
      <b/>
      <sz val="9"/>
      <color theme="1"/>
      <name val="Calibri"/>
      <family val="2"/>
      <scheme val="minor"/>
    </font>
    <font>
      <b/>
      <sz val="12"/>
      <color theme="1"/>
      <name val="Calibri"/>
      <family val="2"/>
      <scheme val="minor"/>
    </font>
    <font>
      <sz val="11"/>
      <color theme="1"/>
      <name val="Simplified Arabic"/>
      <family val="1"/>
    </font>
    <font>
      <b/>
      <sz val="9"/>
      <color indexed="8"/>
      <name val="Times New Roman"/>
      <family val="1"/>
    </font>
    <font>
      <b/>
      <sz val="10"/>
      <name val="Calibri"/>
      <family val="2"/>
    </font>
    <font>
      <b/>
      <sz val="12"/>
      <name val="Cambria"/>
      <family val="1"/>
      <scheme val="major"/>
    </font>
    <font>
      <b/>
      <sz val="10"/>
      <color theme="1"/>
      <name val="Cambria"/>
      <family val="1"/>
      <scheme val="major"/>
    </font>
    <font>
      <sz val="11"/>
      <name val="Calibri"/>
      <family val="2"/>
      <scheme val="minor"/>
    </font>
    <font>
      <b/>
      <sz val="11"/>
      <name val="Times New Roman"/>
      <family val="1"/>
    </font>
    <font>
      <b/>
      <sz val="12"/>
      <name val="Calibri"/>
      <family val="2"/>
      <scheme val="minor"/>
    </font>
    <font>
      <b/>
      <sz val="11"/>
      <name val="Calibri"/>
      <family val="2"/>
      <scheme val="minor"/>
    </font>
    <font>
      <b/>
      <sz val="10"/>
      <name val="Cambria"/>
      <family val="1"/>
      <scheme val="major"/>
    </font>
    <font>
      <b/>
      <sz val="10"/>
      <name val="Calibri"/>
      <family val="2"/>
      <scheme val="minor"/>
    </font>
    <font>
      <b/>
      <sz val="9"/>
      <name val="Calibri"/>
      <family val="2"/>
      <scheme val="minor"/>
    </font>
    <font>
      <b/>
      <sz val="10"/>
      <color rgb="FF000000"/>
      <name val="Times New Roman"/>
      <family val="1"/>
    </font>
    <font>
      <sz val="9"/>
      <color theme="1"/>
      <name val="Calibri"/>
      <family val="2"/>
      <scheme val="minor"/>
    </font>
    <font>
      <b/>
      <sz val="10"/>
      <color rgb="FF002060"/>
      <name val="Times New Roman"/>
      <family val="1"/>
    </font>
    <font>
      <b/>
      <sz val="6"/>
      <color theme="1"/>
      <name val="Arial"/>
      <family val="2"/>
    </font>
    <font>
      <b/>
      <sz val="11"/>
      <color rgb="FF000000"/>
      <name val="Arial"/>
      <family val="2"/>
    </font>
    <font>
      <b/>
      <sz val="9.5"/>
      <color rgb="FF000000"/>
      <name val="Arial"/>
      <family val="2"/>
    </font>
    <font>
      <sz val="10"/>
      <color theme="1"/>
      <name val="Arial"/>
      <family val="2"/>
    </font>
    <font>
      <b/>
      <sz val="10"/>
      <color rgb="FF000000"/>
      <name val="Arial"/>
      <family val="2"/>
    </font>
    <font>
      <b/>
      <sz val="9"/>
      <color rgb="FF000000"/>
      <name val="Times New Roman"/>
      <family val="1"/>
    </font>
    <font>
      <b/>
      <sz val="8"/>
      <color rgb="FF000000"/>
      <name val="Arial"/>
      <family val="2"/>
    </font>
    <font>
      <b/>
      <sz val="8"/>
      <name val="Arial"/>
      <family val="2"/>
    </font>
    <font>
      <sz val="12"/>
      <color theme="1"/>
      <name val="Calibri"/>
      <family val="2"/>
      <scheme val="minor"/>
    </font>
    <font>
      <sz val="12"/>
      <color theme="1"/>
      <name val="Sultan normal"/>
    </font>
  </fonts>
  <fills count="13">
    <fill>
      <patternFill patternType="none"/>
    </fill>
    <fill>
      <patternFill patternType="gray125"/>
    </fill>
    <fill>
      <patternFill patternType="solid">
        <fgColor theme="3" tint="0.5999938962981048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rgb="FFFFFFFF"/>
        <bgColor indexed="64"/>
      </patternFill>
    </fill>
    <fill>
      <patternFill patternType="solid">
        <fgColor rgb="FFFFFF00"/>
        <bgColor indexed="64"/>
      </patternFill>
    </fill>
  </fills>
  <borders count="24">
    <border>
      <left/>
      <right/>
      <top/>
      <bottom/>
      <diagonal/>
    </border>
    <border>
      <left/>
      <right/>
      <top style="double">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top/>
      <bottom style="thin">
        <color indexed="64"/>
      </bottom>
      <diagonal/>
    </border>
    <border>
      <left/>
      <right/>
      <top/>
      <bottom style="double">
        <color indexed="64"/>
      </bottom>
      <diagonal/>
    </border>
    <border>
      <left/>
      <right/>
      <top style="double">
        <color indexed="64"/>
      </top>
      <bottom/>
      <diagonal/>
    </border>
    <border>
      <left/>
      <right/>
      <top style="thin">
        <color indexed="64"/>
      </top>
      <bottom style="hair">
        <color indexed="64"/>
      </bottom>
      <diagonal/>
    </border>
    <border>
      <left/>
      <right/>
      <top style="hair">
        <color indexed="64"/>
      </top>
      <bottom style="double">
        <color indexed="64"/>
      </bottom>
      <diagonal/>
    </border>
    <border>
      <left/>
      <right/>
      <top/>
      <bottom style="hair">
        <color indexed="64"/>
      </bottom>
      <diagonal/>
    </border>
    <border>
      <left/>
      <right/>
      <top style="hair">
        <color indexed="64"/>
      </top>
      <bottom style="thin">
        <color indexed="64"/>
      </bottom>
      <diagonal/>
    </border>
    <border>
      <left/>
      <right/>
      <top style="double">
        <color indexed="64"/>
      </top>
      <bottom style="hair">
        <color indexed="64"/>
      </bottom>
      <diagonal/>
    </border>
    <border>
      <left/>
      <right/>
      <top style="double">
        <color indexed="64"/>
      </top>
      <bottom style="double">
        <color indexed="64"/>
      </bottom>
      <diagonal/>
    </border>
    <border>
      <left/>
      <right style="thin">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double">
        <color indexed="64"/>
      </bottom>
      <diagonal/>
    </border>
    <border>
      <left/>
      <right/>
      <top style="hair">
        <color rgb="FF000000"/>
      </top>
      <bottom style="hair">
        <color rgb="FF000000"/>
      </bottom>
      <diagonal/>
    </border>
    <border>
      <left/>
      <right/>
      <top style="hair">
        <color rgb="FF000000"/>
      </top>
      <bottom/>
      <diagonal/>
    </border>
    <border>
      <left/>
      <right/>
      <top style="hair">
        <color rgb="FF000000"/>
      </top>
      <bottom style="double">
        <color auto="1"/>
      </bottom>
      <diagonal/>
    </border>
    <border>
      <left/>
      <right/>
      <top style="hair">
        <color indexed="64"/>
      </top>
      <bottom style="hair">
        <color rgb="FF000000"/>
      </bottom>
      <diagonal/>
    </border>
  </borders>
  <cellStyleXfs count="4">
    <xf numFmtId="0" fontId="0" fillId="0" borderId="0"/>
    <xf numFmtId="43" fontId="13" fillId="0" borderId="0" applyFont="0" applyFill="0" applyBorder="0" applyAlignment="0" applyProtection="0"/>
    <xf numFmtId="0" fontId="19" fillId="0" borderId="0"/>
    <xf numFmtId="0" fontId="19" fillId="0" borderId="0"/>
  </cellStyleXfs>
  <cellXfs count="1285">
    <xf numFmtId="0" fontId="0" fillId="0" borderId="0" xfId="0"/>
    <xf numFmtId="0" fontId="1" fillId="0" borderId="0" xfId="0" applyFont="1" applyAlignment="1">
      <alignment vertical="center"/>
    </xf>
    <xf numFmtId="0" fontId="11" fillId="0" borderId="2" xfId="0" applyFont="1" applyBorder="1" applyAlignment="1">
      <alignment horizontal="center" vertical="center"/>
    </xf>
    <xf numFmtId="0" fontId="11" fillId="0" borderId="11" xfId="0" applyFont="1" applyBorder="1" applyAlignment="1">
      <alignment horizontal="center" vertical="center"/>
    </xf>
    <xf numFmtId="165" fontId="1" fillId="0" borderId="0" xfId="0" applyNumberFormat="1" applyFont="1" applyAlignment="1">
      <alignment vertical="center"/>
    </xf>
    <xf numFmtId="1" fontId="7" fillId="0" borderId="2" xfId="0" applyNumberFormat="1" applyFont="1" applyBorder="1" applyAlignment="1">
      <alignment horizontal="center" vertical="center" wrapText="1"/>
    </xf>
    <xf numFmtId="9" fontId="6" fillId="0" borderId="0" xfId="0" applyNumberFormat="1" applyFont="1" applyBorder="1" applyAlignment="1">
      <alignment horizontal="center" vertical="center" wrapText="1"/>
    </xf>
    <xf numFmtId="1" fontId="0" fillId="0" borderId="0" xfId="0" applyNumberFormat="1"/>
    <xf numFmtId="2" fontId="0" fillId="0" borderId="0" xfId="0" applyNumberFormat="1"/>
    <xf numFmtId="0" fontId="0" fillId="0" borderId="0" xfId="0" applyAlignment="1">
      <alignment horizontal="center" vertical="center" wrapText="1"/>
    </xf>
    <xf numFmtId="0" fontId="7" fillId="0" borderId="0" xfId="0" applyFont="1" applyBorder="1" applyAlignment="1">
      <alignment horizontal="center" vertical="center" wrapText="1"/>
    </xf>
    <xf numFmtId="2" fontId="0" fillId="0" borderId="0" xfId="0" applyNumberFormat="1" applyAlignment="1">
      <alignment horizontal="center" vertical="center" wrapText="1"/>
    </xf>
    <xf numFmtId="0" fontId="0" fillId="0" borderId="0" xfId="0" applyBorder="1"/>
    <xf numFmtId="0" fontId="4" fillId="0" borderId="0" xfId="0" applyFont="1" applyBorder="1"/>
    <xf numFmtId="0" fontId="11" fillId="0" borderId="13" xfId="0" applyFont="1" applyBorder="1" applyAlignment="1">
      <alignment horizontal="center" vertical="center"/>
    </xf>
    <xf numFmtId="0" fontId="7" fillId="0" borderId="2" xfId="0" applyFont="1" applyFill="1" applyBorder="1" applyAlignment="1">
      <alignment horizontal="center" vertical="center" wrapText="1"/>
    </xf>
    <xf numFmtId="0" fontId="0" fillId="0" borderId="0" xfId="0" applyFill="1"/>
    <xf numFmtId="0" fontId="7" fillId="0" borderId="0" xfId="0" applyFont="1" applyFill="1" applyBorder="1" applyAlignment="1">
      <alignment horizontal="center" vertical="center" wrapText="1"/>
    </xf>
    <xf numFmtId="0" fontId="0" fillId="0" borderId="0" xfId="0" applyAlignment="1">
      <alignment readingOrder="2"/>
    </xf>
    <xf numFmtId="0" fontId="5" fillId="0" borderId="0" xfId="0" applyFont="1"/>
    <xf numFmtId="0" fontId="5" fillId="0" borderId="0" xfId="0" applyFont="1" applyAlignment="1">
      <alignment horizontal="center" vertical="center" wrapText="1"/>
    </xf>
    <xf numFmtId="0" fontId="0" fillId="0" borderId="0" xfId="0" applyAlignment="1">
      <alignment horizontal="center" vertical="center"/>
    </xf>
    <xf numFmtId="0" fontId="0" fillId="4" borderId="0" xfId="0" applyFill="1" applyAlignment="1">
      <alignment horizontal="center" vertical="center"/>
    </xf>
    <xf numFmtId="0" fontId="4" fillId="0" borderId="0" xfId="0" applyFont="1" applyAlignment="1">
      <alignment horizontal="center" vertical="center"/>
    </xf>
    <xf numFmtId="9" fontId="4" fillId="0" borderId="0" xfId="0" applyNumberFormat="1" applyFont="1" applyFill="1" applyBorder="1" applyAlignment="1">
      <alignment horizontal="center" vertical="center" wrapText="1"/>
    </xf>
    <xf numFmtId="0" fontId="0" fillId="0" borderId="0" xfId="0" applyAlignment="1">
      <alignment horizontal="center"/>
    </xf>
    <xf numFmtId="1" fontId="0" fillId="0" borderId="0" xfId="0" applyNumberFormat="1" applyAlignment="1">
      <alignment horizontal="center"/>
    </xf>
    <xf numFmtId="0" fontId="7" fillId="0" borderId="0" xfId="0" applyFont="1" applyBorder="1" applyAlignment="1">
      <alignment horizontal="right" vertical="center" wrapText="1"/>
    </xf>
    <xf numFmtId="0" fontId="0" fillId="5" borderId="0" xfId="0" applyFill="1" applyAlignment="1">
      <alignment horizontal="center" vertical="center" wrapText="1"/>
    </xf>
    <xf numFmtId="0" fontId="4" fillId="5" borderId="0" xfId="0" applyFont="1" applyFill="1" applyBorder="1" applyAlignment="1">
      <alignment horizontal="center"/>
    </xf>
    <xf numFmtId="0" fontId="4" fillId="2" borderId="2" xfId="0" applyFont="1" applyFill="1" applyBorder="1" applyAlignment="1">
      <alignment horizontal="center" vertical="center" wrapText="1"/>
    </xf>
    <xf numFmtId="0" fontId="0" fillId="5" borderId="0" xfId="0" applyFill="1"/>
    <xf numFmtId="0" fontId="5" fillId="5" borderId="0" xfId="0" applyFont="1" applyFill="1" applyBorder="1" applyAlignment="1">
      <alignment vertical="center" wrapText="1"/>
    </xf>
    <xf numFmtId="0" fontId="8" fillId="5" borderId="0" xfId="0" applyFont="1" applyFill="1" applyBorder="1" applyAlignment="1">
      <alignment horizontal="center" vertical="center" wrapText="1"/>
    </xf>
    <xf numFmtId="0" fontId="7" fillId="5" borderId="0" xfId="0" applyFont="1" applyFill="1" applyBorder="1" applyAlignment="1">
      <alignment horizontal="left" vertical="center" wrapText="1"/>
    </xf>
    <xf numFmtId="0" fontId="14" fillId="5" borderId="0" xfId="0" applyFont="1" applyFill="1" applyBorder="1" applyAlignment="1">
      <alignment horizontal="right" vertical="center" wrapText="1"/>
    </xf>
    <xf numFmtId="0" fontId="0" fillId="0" borderId="16" xfId="0" applyBorder="1"/>
    <xf numFmtId="0" fontId="4" fillId="0" borderId="5" xfId="0" applyFont="1" applyBorder="1" applyAlignment="1">
      <alignment horizontal="center" vertical="center"/>
    </xf>
    <xf numFmtId="0" fontId="4" fillId="0" borderId="10" xfId="0" applyFont="1" applyBorder="1" applyAlignment="1">
      <alignment horizontal="right" vertical="center" wrapText="1"/>
    </xf>
    <xf numFmtId="0" fontId="0" fillId="0" borderId="0" xfId="0" applyAlignment="1">
      <alignment wrapText="1"/>
    </xf>
    <xf numFmtId="0" fontId="4" fillId="0" borderId="2" xfId="0" applyFont="1" applyBorder="1" applyAlignment="1">
      <alignment horizontal="right" vertical="center" wrapText="1"/>
    </xf>
    <xf numFmtId="0" fontId="4" fillId="0" borderId="11" xfId="0" applyFont="1" applyBorder="1" applyAlignment="1">
      <alignment horizontal="right" vertical="center" wrapText="1"/>
    </xf>
    <xf numFmtId="0" fontId="11" fillId="0" borderId="0" xfId="0" applyFont="1" applyBorder="1" applyAlignment="1">
      <alignment horizontal="center" vertical="center"/>
    </xf>
    <xf numFmtId="0" fontId="4" fillId="0" borderId="0" xfId="0" applyFont="1" applyAlignment="1">
      <alignment horizontal="center" vertical="center"/>
    </xf>
    <xf numFmtId="2" fontId="7" fillId="0" borderId="2" xfId="0" applyNumberFormat="1" applyFont="1" applyBorder="1" applyAlignment="1">
      <alignment vertical="center" wrapText="1"/>
    </xf>
    <xf numFmtId="0" fontId="3" fillId="0" borderId="2" xfId="0" applyFont="1" applyBorder="1" applyAlignment="1">
      <alignment horizontal="right" vertical="center" readingOrder="2"/>
    </xf>
    <xf numFmtId="0" fontId="3" fillId="0" borderId="11" xfId="0" applyFont="1" applyBorder="1" applyAlignment="1">
      <alignment horizontal="right" vertical="center" readingOrder="2"/>
    </xf>
    <xf numFmtId="43" fontId="11" fillId="0" borderId="2" xfId="1" applyFont="1" applyBorder="1" applyAlignment="1">
      <alignment horizontal="right" vertical="center"/>
    </xf>
    <xf numFmtId="43" fontId="11" fillId="0" borderId="11" xfId="1" applyFont="1" applyBorder="1" applyAlignment="1">
      <alignment horizontal="right" vertical="center"/>
    </xf>
    <xf numFmtId="2" fontId="7" fillId="0" borderId="10" xfId="0" applyNumberFormat="1" applyFont="1" applyBorder="1" applyAlignment="1">
      <alignment vertical="center" wrapText="1"/>
    </xf>
    <xf numFmtId="0" fontId="11" fillId="0" borderId="13" xfId="0" applyFont="1" applyBorder="1" applyAlignment="1">
      <alignment vertical="center"/>
    </xf>
    <xf numFmtId="0" fontId="11" fillId="0" borderId="11" xfId="0" applyFont="1" applyBorder="1" applyAlignment="1">
      <alignment vertical="center"/>
    </xf>
    <xf numFmtId="2" fontId="11" fillId="0" borderId="13" xfId="0" applyNumberFormat="1" applyFont="1" applyBorder="1" applyAlignment="1">
      <alignment vertical="center"/>
    </xf>
    <xf numFmtId="0" fontId="4" fillId="0" borderId="3" xfId="0" applyFont="1" applyBorder="1" applyAlignment="1">
      <alignment horizontal="right" vertical="center" wrapText="1"/>
    </xf>
    <xf numFmtId="0" fontId="7" fillId="0" borderId="2" xfId="0" applyFont="1" applyFill="1" applyBorder="1" applyAlignment="1">
      <alignment vertical="center" wrapText="1"/>
    </xf>
    <xf numFmtId="0" fontId="7" fillId="0" borderId="11" xfId="0" applyFont="1" applyFill="1" applyBorder="1" applyAlignment="1">
      <alignment vertical="center" wrapText="1"/>
    </xf>
    <xf numFmtId="165" fontId="7" fillId="0" borderId="2" xfId="0" applyNumberFormat="1" applyFont="1" applyBorder="1" applyAlignment="1">
      <alignment vertical="center" wrapText="1"/>
    </xf>
    <xf numFmtId="0" fontId="4" fillId="0" borderId="10" xfId="0" applyFont="1" applyBorder="1" applyAlignment="1">
      <alignment horizontal="right" vertical="center"/>
    </xf>
    <xf numFmtId="0" fontId="4" fillId="0" borderId="2" xfId="0" applyFont="1" applyBorder="1" applyAlignment="1">
      <alignment horizontal="right" vertical="center"/>
    </xf>
    <xf numFmtId="0" fontId="4" fillId="0" borderId="13" xfId="0" applyFont="1" applyBorder="1" applyAlignment="1">
      <alignment horizontal="right" vertical="center"/>
    </xf>
    <xf numFmtId="0" fontId="4" fillId="0" borderId="0" xfId="0" applyFont="1" applyBorder="1" applyAlignment="1">
      <alignment horizontal="right" vertical="center"/>
    </xf>
    <xf numFmtId="0" fontId="4" fillId="0" borderId="4" xfId="0" applyFont="1" applyBorder="1" applyAlignment="1">
      <alignment horizontal="right" vertical="center"/>
    </xf>
    <xf numFmtId="2" fontId="7" fillId="3" borderId="10" xfId="0" applyNumberFormat="1" applyFont="1" applyFill="1" applyBorder="1" applyAlignment="1">
      <alignment horizontal="right" vertical="center"/>
    </xf>
    <xf numFmtId="2" fontId="7" fillId="0" borderId="10" xfId="0" applyNumberFormat="1" applyFont="1" applyBorder="1" applyAlignment="1">
      <alignment horizontal="right" vertical="center"/>
    </xf>
    <xf numFmtId="0" fontId="7" fillId="3" borderId="2" xfId="0" applyFont="1" applyFill="1" applyBorder="1" applyAlignment="1">
      <alignment horizontal="right" vertical="center"/>
    </xf>
    <xf numFmtId="2" fontId="7" fillId="0" borderId="2" xfId="0" applyNumberFormat="1" applyFont="1" applyBorder="1" applyAlignment="1">
      <alignment horizontal="right" vertical="center"/>
    </xf>
    <xf numFmtId="0" fontId="7" fillId="3" borderId="13" xfId="0" applyFont="1" applyFill="1" applyBorder="1" applyAlignment="1">
      <alignment horizontal="right" vertical="center"/>
    </xf>
    <xf numFmtId="2" fontId="7" fillId="0" borderId="13" xfId="0" applyNumberFormat="1" applyFont="1" applyBorder="1" applyAlignment="1">
      <alignment horizontal="right" vertical="center"/>
    </xf>
    <xf numFmtId="2" fontId="7" fillId="3" borderId="4" xfId="0" applyNumberFormat="1" applyFont="1" applyFill="1" applyBorder="1" applyAlignment="1">
      <alignment horizontal="right" vertical="center"/>
    </xf>
    <xf numFmtId="2" fontId="7" fillId="0" borderId="4" xfId="0" applyNumberFormat="1" applyFont="1" applyBorder="1" applyAlignment="1">
      <alignment horizontal="right" vertical="center"/>
    </xf>
    <xf numFmtId="0" fontId="7" fillId="3" borderId="0" xfId="0" applyFont="1" applyFill="1" applyBorder="1" applyAlignment="1">
      <alignment horizontal="right" vertical="center"/>
    </xf>
    <xf numFmtId="2" fontId="7" fillId="3" borderId="0" xfId="0" applyNumberFormat="1" applyFont="1" applyFill="1" applyBorder="1" applyAlignment="1">
      <alignment horizontal="right" vertical="center"/>
    </xf>
    <xf numFmtId="2" fontId="7" fillId="0" borderId="0" xfId="0" applyNumberFormat="1" applyFont="1" applyBorder="1" applyAlignment="1">
      <alignment horizontal="right" vertical="center"/>
    </xf>
    <xf numFmtId="0" fontId="7" fillId="3" borderId="4" xfId="0" applyFont="1" applyFill="1" applyBorder="1" applyAlignment="1">
      <alignment horizontal="right" vertical="center"/>
    </xf>
    <xf numFmtId="0" fontId="7" fillId="0" borderId="4" xfId="0" applyFont="1" applyBorder="1" applyAlignment="1">
      <alignment horizontal="right" vertical="center"/>
    </xf>
    <xf numFmtId="2" fontId="7" fillId="3" borderId="13" xfId="0" applyNumberFormat="1" applyFont="1" applyFill="1" applyBorder="1" applyAlignment="1">
      <alignment horizontal="right" vertical="center"/>
    </xf>
    <xf numFmtId="166" fontId="7" fillId="5" borderId="10" xfId="1" applyNumberFormat="1" applyFont="1" applyFill="1" applyBorder="1" applyAlignment="1">
      <alignment horizontal="right" vertical="center" wrapText="1"/>
    </xf>
    <xf numFmtId="166" fontId="7" fillId="5" borderId="2" xfId="1" applyNumberFormat="1" applyFont="1" applyFill="1" applyBorder="1" applyAlignment="1">
      <alignment horizontal="right" vertical="center" wrapText="1"/>
    </xf>
    <xf numFmtId="166" fontId="7" fillId="5" borderId="11" xfId="1" applyNumberFormat="1" applyFont="1" applyFill="1" applyBorder="1" applyAlignment="1">
      <alignment horizontal="right" vertical="center" wrapText="1"/>
    </xf>
    <xf numFmtId="0" fontId="4" fillId="5" borderId="0" xfId="0" applyFont="1" applyFill="1" applyAlignment="1">
      <alignment horizontal="right" vertical="center" wrapText="1"/>
    </xf>
    <xf numFmtId="0" fontId="4" fillId="5" borderId="2" xfId="0" applyFont="1" applyFill="1" applyBorder="1" applyAlignment="1">
      <alignment horizontal="right" vertical="center" wrapText="1"/>
    </xf>
    <xf numFmtId="0" fontId="4" fillId="5" borderId="3" xfId="0" applyFont="1" applyFill="1" applyBorder="1" applyAlignment="1">
      <alignment horizontal="right" vertical="center" wrapText="1"/>
    </xf>
    <xf numFmtId="0" fontId="4" fillId="5" borderId="11" xfId="0" applyFont="1" applyFill="1" applyBorder="1" applyAlignment="1">
      <alignment horizontal="right" vertical="center" wrapText="1"/>
    </xf>
    <xf numFmtId="0" fontId="4" fillId="5" borderId="10" xfId="0" applyFont="1" applyFill="1" applyBorder="1" applyAlignment="1">
      <alignment horizontal="right" vertical="center"/>
    </xf>
    <xf numFmtId="0" fontId="4" fillId="5" borderId="2" xfId="0" applyFont="1" applyFill="1" applyBorder="1" applyAlignment="1">
      <alignment horizontal="right" vertical="center"/>
    </xf>
    <xf numFmtId="0" fontId="4" fillId="5" borderId="11" xfId="0" applyFont="1" applyFill="1" applyBorder="1" applyAlignment="1">
      <alignment horizontal="right" vertical="center"/>
    </xf>
    <xf numFmtId="0" fontId="7" fillId="0" borderId="0" xfId="0" applyFont="1" applyFill="1" applyBorder="1" applyAlignment="1">
      <alignment vertical="center" wrapText="1"/>
    </xf>
    <xf numFmtId="0" fontId="7" fillId="0" borderId="0" xfId="0" applyFont="1" applyFill="1" applyBorder="1" applyAlignment="1">
      <alignment horizontal="right" vertical="center"/>
    </xf>
    <xf numFmtId="2" fontId="7" fillId="0" borderId="3" xfId="0" applyNumberFormat="1" applyFont="1" applyBorder="1" applyAlignment="1">
      <alignment vertical="center" wrapText="1"/>
    </xf>
    <xf numFmtId="166" fontId="11" fillId="0" borderId="2" xfId="1" applyNumberFormat="1" applyFont="1" applyBorder="1" applyAlignment="1">
      <alignment horizontal="right" vertical="center" readingOrder="2"/>
    </xf>
    <xf numFmtId="166" fontId="11" fillId="0" borderId="11" xfId="1" applyNumberFormat="1" applyFont="1" applyBorder="1" applyAlignment="1">
      <alignment horizontal="right" vertical="center" readingOrder="2"/>
    </xf>
    <xf numFmtId="0" fontId="25" fillId="0" borderId="5" xfId="0" applyFont="1" applyBorder="1" applyAlignment="1">
      <alignment horizontal="right" vertical="center"/>
    </xf>
    <xf numFmtId="0" fontId="4" fillId="0" borderId="5" xfId="0" applyFont="1" applyBorder="1"/>
    <xf numFmtId="0" fontId="3" fillId="0" borderId="0" xfId="0" applyFont="1" applyBorder="1" applyAlignment="1">
      <alignment horizontal="right" vertical="center" readingOrder="2"/>
    </xf>
    <xf numFmtId="43" fontId="11" fillId="0" borderId="0" xfId="1" applyFont="1" applyBorder="1" applyAlignment="1">
      <alignment horizontal="right" vertical="center"/>
    </xf>
    <xf numFmtId="166" fontId="11" fillId="0" borderId="0" xfId="1" applyNumberFormat="1" applyFont="1" applyBorder="1" applyAlignment="1">
      <alignment horizontal="right" vertical="center" readingOrder="2"/>
    </xf>
    <xf numFmtId="0" fontId="11" fillId="0" borderId="0" xfId="0" applyFont="1" applyBorder="1" applyAlignment="1">
      <alignment vertical="center"/>
    </xf>
    <xf numFmtId="0" fontId="5" fillId="0" borderId="0" xfId="0" applyFont="1" applyBorder="1"/>
    <xf numFmtId="0" fontId="7" fillId="0" borderId="0" xfId="0" applyFont="1" applyBorder="1" applyAlignment="1">
      <alignment horizontal="center" vertical="center" wrapText="1"/>
    </xf>
    <xf numFmtId="0" fontId="4" fillId="0" borderId="0" xfId="0" applyFont="1" applyBorder="1" applyAlignment="1">
      <alignment horizontal="center" vertical="center"/>
    </xf>
    <xf numFmtId="2" fontId="7" fillId="0" borderId="0" xfId="0" applyNumberFormat="1" applyFont="1" applyFill="1" applyBorder="1" applyAlignment="1">
      <alignment horizontal="right" vertical="center"/>
    </xf>
    <xf numFmtId="0" fontId="4" fillId="3" borderId="0" xfId="0" applyFont="1" applyFill="1" applyBorder="1" applyAlignment="1">
      <alignment horizontal="right" vertical="center"/>
    </xf>
    <xf numFmtId="0" fontId="23" fillId="0" borderId="0" xfId="0" applyFont="1" applyFill="1" applyAlignment="1">
      <alignment horizontal="center" wrapText="1"/>
    </xf>
    <xf numFmtId="0" fontId="0" fillId="0" borderId="0" xfId="0" applyFill="1" applyAlignment="1">
      <alignment horizontal="center"/>
    </xf>
    <xf numFmtId="0" fontId="9" fillId="0" borderId="0" xfId="0" applyFont="1" applyAlignment="1">
      <alignment horizontal="center"/>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27" fillId="0" borderId="0" xfId="0" applyFont="1"/>
    <xf numFmtId="0" fontId="28" fillId="0" borderId="0" xfId="0" applyFont="1"/>
    <xf numFmtId="0" fontId="7" fillId="5" borderId="10" xfId="0" applyFont="1" applyFill="1" applyBorder="1" applyAlignment="1">
      <alignment horizontal="left" vertical="center"/>
    </xf>
    <xf numFmtId="0" fontId="7" fillId="5" borderId="2" xfId="0" applyFont="1" applyFill="1" applyBorder="1" applyAlignment="1">
      <alignment horizontal="left" vertical="center"/>
    </xf>
    <xf numFmtId="0" fontId="7" fillId="5" borderId="2" xfId="0" applyFont="1" applyFill="1" applyBorder="1" applyAlignment="1">
      <alignment horizontal="center" vertical="center"/>
    </xf>
    <xf numFmtId="0" fontId="7" fillId="5" borderId="2" xfId="0" applyFont="1" applyFill="1" applyBorder="1" applyAlignment="1">
      <alignment horizontal="left" vertical="center" wrapText="1"/>
    </xf>
    <xf numFmtId="0" fontId="7" fillId="5" borderId="11" xfId="0" applyFont="1" applyFill="1" applyBorder="1" applyAlignment="1">
      <alignment horizontal="left" vertical="center"/>
    </xf>
    <xf numFmtId="0" fontId="7" fillId="5" borderId="11" xfId="0" applyFont="1" applyFill="1" applyBorder="1" applyAlignment="1">
      <alignment horizontal="center" vertical="center"/>
    </xf>
    <xf numFmtId="0" fontId="7" fillId="0" borderId="5"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11" xfId="0" applyFont="1" applyFill="1" applyBorder="1" applyAlignment="1">
      <alignment horizontal="left" vertical="center" wrapText="1"/>
    </xf>
    <xf numFmtId="0" fontId="7" fillId="0" borderId="11" xfId="0" applyFont="1" applyFill="1" applyBorder="1" applyAlignment="1">
      <alignment horizontal="center" vertical="center" wrapText="1"/>
    </xf>
    <xf numFmtId="0" fontId="30" fillId="0" borderId="0" xfId="0" applyFont="1"/>
    <xf numFmtId="0" fontId="6" fillId="0" borderId="5" xfId="0" applyFont="1" applyFill="1" applyBorder="1" applyAlignment="1">
      <alignment vertical="center"/>
    </xf>
    <xf numFmtId="2" fontId="11" fillId="0" borderId="0" xfId="0" applyNumberFormat="1" applyFont="1" applyBorder="1" applyAlignment="1">
      <alignment vertical="center"/>
    </xf>
    <xf numFmtId="0" fontId="11" fillId="0" borderId="0" xfId="0" applyFont="1" applyFill="1" applyBorder="1" applyAlignment="1">
      <alignment vertical="center"/>
    </xf>
    <xf numFmtId="0" fontId="11" fillId="0" borderId="10" xfId="0" applyFont="1" applyBorder="1" applyAlignment="1">
      <alignment vertical="center"/>
    </xf>
    <xf numFmtId="2" fontId="11" fillId="0" borderId="10" xfId="0" applyNumberFormat="1" applyFont="1" applyBorder="1" applyAlignment="1">
      <alignment vertical="center"/>
    </xf>
    <xf numFmtId="2" fontId="11" fillId="0" borderId="11" xfId="0" applyNumberFormat="1" applyFont="1" applyBorder="1" applyAlignment="1">
      <alignment vertical="center"/>
    </xf>
    <xf numFmtId="166" fontId="7" fillId="5" borderId="3" xfId="1" applyNumberFormat="1" applyFont="1" applyFill="1" applyBorder="1" applyAlignment="1">
      <alignment horizontal="right" vertical="center" wrapText="1"/>
    </xf>
    <xf numFmtId="9" fontId="6" fillId="0" borderId="0" xfId="0" applyNumberFormat="1" applyFont="1" applyFill="1" applyBorder="1" applyAlignment="1">
      <alignment horizontal="center" vertical="center" wrapText="1"/>
    </xf>
    <xf numFmtId="2" fontId="7" fillId="0" borderId="10" xfId="0" applyNumberFormat="1" applyFont="1" applyFill="1" applyBorder="1" applyAlignment="1">
      <alignment vertical="center" wrapText="1"/>
    </xf>
    <xf numFmtId="2" fontId="7" fillId="0" borderId="2" xfId="0" applyNumberFormat="1" applyFont="1" applyFill="1" applyBorder="1" applyAlignment="1">
      <alignment vertical="center" wrapText="1"/>
    </xf>
    <xf numFmtId="0" fontId="4" fillId="0" borderId="0" xfId="0" applyFont="1" applyBorder="1" applyAlignment="1">
      <alignment horizontal="right" vertical="center"/>
    </xf>
    <xf numFmtId="3" fontId="7" fillId="5" borderId="2" xfId="0" applyNumberFormat="1" applyFont="1" applyFill="1" applyBorder="1" applyAlignment="1">
      <alignment horizontal="right" vertical="center" wrapText="1" readingOrder="2"/>
    </xf>
    <xf numFmtId="3" fontId="7" fillId="5" borderId="2" xfId="0" applyNumberFormat="1" applyFont="1" applyFill="1" applyBorder="1" applyAlignment="1">
      <alignment vertical="center" wrapText="1" readingOrder="2"/>
    </xf>
    <xf numFmtId="3" fontId="7" fillId="5" borderId="0" xfId="0" applyNumberFormat="1" applyFont="1" applyFill="1" applyBorder="1" applyAlignment="1">
      <alignment vertical="center" wrapText="1" readingOrder="2"/>
    </xf>
    <xf numFmtId="0" fontId="9" fillId="0" borderId="0" xfId="0" applyFont="1" applyAlignment="1">
      <alignment horizontal="center" vertical="center"/>
    </xf>
    <xf numFmtId="0" fontId="0" fillId="0" borderId="0" xfId="0" applyAlignment="1">
      <alignment vertical="center"/>
    </xf>
    <xf numFmtId="0" fontId="8" fillId="0" borderId="5" xfId="0" applyFont="1" applyFill="1" applyBorder="1" applyAlignment="1">
      <alignment vertical="center"/>
    </xf>
    <xf numFmtId="0" fontId="6" fillId="0" borderId="5" xfId="0" applyFont="1" applyBorder="1" applyAlignment="1">
      <alignment vertical="center"/>
    </xf>
    <xf numFmtId="0" fontId="0" fillId="0" borderId="0" xfId="0" applyAlignment="1">
      <alignment horizontal="right"/>
    </xf>
    <xf numFmtId="0" fontId="0" fillId="0" borderId="0" xfId="0" applyBorder="1" applyAlignment="1">
      <alignment horizontal="right"/>
    </xf>
    <xf numFmtId="0" fontId="0" fillId="0" borderId="0" xfId="0" applyAlignment="1">
      <alignment horizontal="right" wrapText="1"/>
    </xf>
    <xf numFmtId="0" fontId="32" fillId="0" borderId="0" xfId="0" applyFont="1" applyAlignment="1">
      <alignment vertical="center"/>
    </xf>
    <xf numFmtId="0" fontId="8" fillId="0" borderId="0" xfId="0" applyFont="1" applyBorder="1" applyAlignment="1">
      <alignment vertical="center"/>
    </xf>
    <xf numFmtId="168" fontId="7" fillId="5" borderId="2" xfId="0" applyNumberFormat="1" applyFont="1" applyFill="1" applyBorder="1" applyAlignment="1">
      <alignment vertical="center" wrapText="1" readingOrder="2"/>
    </xf>
    <xf numFmtId="4" fontId="7" fillId="5" borderId="2" xfId="0" applyNumberFormat="1" applyFont="1" applyFill="1" applyBorder="1" applyAlignment="1">
      <alignment vertical="center" wrapText="1" readingOrder="2"/>
    </xf>
    <xf numFmtId="3" fontId="7" fillId="0" borderId="0" xfId="0" applyNumberFormat="1" applyFont="1" applyBorder="1" applyAlignment="1">
      <alignment horizontal="right" vertical="center"/>
    </xf>
    <xf numFmtId="0" fontId="12" fillId="5" borderId="0" xfId="0" applyFont="1" applyFill="1" applyAlignment="1">
      <alignment vertical="center" wrapText="1"/>
    </xf>
    <xf numFmtId="0" fontId="11" fillId="0" borderId="10" xfId="0" applyFont="1" applyBorder="1" applyAlignment="1">
      <alignment horizontal="center" vertical="center"/>
    </xf>
    <xf numFmtId="166" fontId="7" fillId="0" borderId="0" xfId="1" applyNumberFormat="1" applyFont="1" applyBorder="1" applyAlignment="1">
      <alignment vertical="center" wrapText="1"/>
    </xf>
    <xf numFmtId="0" fontId="4" fillId="6" borderId="1" xfId="0" applyFont="1" applyFill="1" applyBorder="1" applyAlignment="1">
      <alignment horizontal="right" vertical="center" wrapText="1"/>
    </xf>
    <xf numFmtId="0" fontId="8" fillId="7" borderId="13" xfId="0" applyFont="1" applyFill="1" applyBorder="1" applyAlignment="1">
      <alignment horizontal="right" vertical="center" wrapText="1"/>
    </xf>
    <xf numFmtId="0" fontId="8" fillId="7" borderId="3" xfId="0" applyFont="1" applyFill="1" applyBorder="1" applyAlignment="1">
      <alignment horizontal="right" vertical="center" wrapText="1"/>
    </xf>
    <xf numFmtId="0" fontId="4" fillId="6" borderId="10" xfId="0" applyFont="1" applyFill="1" applyBorder="1" applyAlignment="1">
      <alignment vertical="center" wrapText="1"/>
    </xf>
    <xf numFmtId="0" fontId="4" fillId="6" borderId="9" xfId="0" applyFont="1" applyFill="1" applyBorder="1" applyAlignment="1">
      <alignment horizontal="center" vertical="center" wrapText="1"/>
    </xf>
    <xf numFmtId="0" fontId="8" fillId="6" borderId="7" xfId="0" applyFont="1" applyFill="1" applyBorder="1" applyAlignment="1">
      <alignment horizontal="right" vertical="center" wrapText="1"/>
    </xf>
    <xf numFmtId="0" fontId="8" fillId="7" borderId="0" xfId="0" applyFont="1" applyFill="1" applyBorder="1" applyAlignment="1">
      <alignment horizontal="right" vertical="center" wrapText="1"/>
    </xf>
    <xf numFmtId="0" fontId="8" fillId="7" borderId="13" xfId="0" applyFont="1" applyFill="1" applyBorder="1" applyAlignment="1">
      <alignment vertical="center" wrapText="1" readingOrder="2"/>
    </xf>
    <xf numFmtId="0" fontId="6" fillId="6" borderId="7" xfId="0" applyFont="1" applyFill="1" applyBorder="1" applyAlignment="1">
      <alignment horizontal="right" vertical="center" wrapText="1"/>
    </xf>
    <xf numFmtId="0" fontId="7" fillId="6" borderId="7" xfId="0" applyFont="1" applyFill="1" applyBorder="1" applyAlignment="1">
      <alignment horizontal="right" vertical="center" wrapText="1"/>
    </xf>
    <xf numFmtId="0" fontId="7" fillId="7" borderId="13" xfId="0" applyFont="1" applyFill="1" applyBorder="1" applyAlignment="1">
      <alignment horizontal="right" vertical="center" wrapText="1"/>
    </xf>
    <xf numFmtId="0" fontId="6" fillId="7" borderId="13" xfId="0" applyFont="1" applyFill="1" applyBorder="1" applyAlignment="1">
      <alignment horizontal="right" vertical="center" wrapText="1"/>
    </xf>
    <xf numFmtId="0" fontId="7" fillId="7" borderId="2" xfId="0" applyFont="1" applyFill="1" applyBorder="1" applyAlignment="1">
      <alignment horizontal="center" vertical="center" wrapText="1"/>
    </xf>
    <xf numFmtId="0" fontId="8" fillId="7" borderId="3" xfId="0" applyFont="1" applyFill="1" applyBorder="1" applyAlignment="1">
      <alignment vertical="center" wrapText="1"/>
    </xf>
    <xf numFmtId="0" fontId="8" fillId="7" borderId="13" xfId="0" applyFont="1" applyFill="1" applyBorder="1" applyAlignment="1">
      <alignment vertical="center" wrapText="1"/>
    </xf>
    <xf numFmtId="0" fontId="4" fillId="6" borderId="1" xfId="0" applyFont="1" applyFill="1" applyBorder="1" applyAlignment="1">
      <alignment vertical="center" wrapText="1"/>
    </xf>
    <xf numFmtId="0" fontId="6" fillId="0" borderId="5" xfId="0" applyFont="1" applyBorder="1" applyAlignment="1">
      <alignment horizontal="center" vertical="center"/>
    </xf>
    <xf numFmtId="0" fontId="4" fillId="0" borderId="0" xfId="0" applyFont="1" applyBorder="1" applyAlignment="1">
      <alignment horizontal="right" vertical="center" wrapText="1"/>
    </xf>
    <xf numFmtId="0" fontId="4" fillId="6" borderId="14" xfId="0" applyFont="1" applyFill="1" applyBorder="1" applyAlignment="1">
      <alignment horizontal="center" vertical="center" wrapText="1"/>
    </xf>
    <xf numFmtId="165" fontId="7" fillId="0" borderId="10" xfId="0" applyNumberFormat="1" applyFont="1" applyBorder="1" applyAlignment="1">
      <alignment vertical="center" wrapText="1"/>
    </xf>
    <xf numFmtId="0" fontId="7" fillId="7" borderId="4" xfId="0" applyFont="1" applyFill="1" applyBorder="1" applyAlignment="1">
      <alignment horizontal="right" vertical="center"/>
    </xf>
    <xf numFmtId="0" fontId="8" fillId="6" borderId="3" xfId="0" applyFont="1" applyFill="1" applyBorder="1" applyAlignment="1">
      <alignment horizontal="right" vertical="center" wrapText="1"/>
    </xf>
    <xf numFmtId="2" fontId="11" fillId="0" borderId="0" xfId="0" applyNumberFormat="1" applyFont="1" applyFill="1" applyBorder="1" applyAlignment="1">
      <alignment vertical="center"/>
    </xf>
    <xf numFmtId="3" fontId="7" fillId="0" borderId="10" xfId="0" applyNumberFormat="1" applyFont="1" applyFill="1" applyBorder="1" applyAlignment="1">
      <alignment vertical="center" wrapText="1"/>
    </xf>
    <xf numFmtId="4" fontId="7" fillId="0" borderId="10" xfId="0" applyNumberFormat="1" applyFont="1" applyFill="1" applyBorder="1" applyAlignment="1">
      <alignment vertical="center" wrapText="1"/>
    </xf>
    <xf numFmtId="168" fontId="7" fillId="0" borderId="10" xfId="0" applyNumberFormat="1" applyFont="1" applyFill="1" applyBorder="1" applyAlignment="1">
      <alignment vertical="center" wrapText="1"/>
    </xf>
    <xf numFmtId="3" fontId="7" fillId="0" borderId="2" xfId="0" applyNumberFormat="1" applyFont="1" applyFill="1" applyBorder="1" applyAlignment="1">
      <alignment vertical="center" wrapText="1"/>
    </xf>
    <xf numFmtId="168" fontId="7" fillId="0" borderId="2" xfId="0" applyNumberFormat="1" applyFont="1" applyFill="1" applyBorder="1" applyAlignment="1">
      <alignment vertical="center" wrapText="1"/>
    </xf>
    <xf numFmtId="4" fontId="7" fillId="0" borderId="2" xfId="0" applyNumberFormat="1" applyFont="1" applyFill="1" applyBorder="1" applyAlignment="1">
      <alignment vertical="center" wrapText="1"/>
    </xf>
    <xf numFmtId="3" fontId="7" fillId="0" borderId="12" xfId="0" applyNumberFormat="1" applyFont="1" applyFill="1" applyBorder="1" applyAlignment="1">
      <alignment vertical="center" wrapText="1"/>
    </xf>
    <xf numFmtId="168" fontId="7" fillId="0" borderId="12" xfId="0" applyNumberFormat="1" applyFont="1" applyFill="1" applyBorder="1" applyAlignment="1">
      <alignment vertical="center" wrapText="1"/>
    </xf>
    <xf numFmtId="168" fontId="7" fillId="0" borderId="3" xfId="0" applyNumberFormat="1" applyFont="1" applyFill="1" applyBorder="1" applyAlignment="1">
      <alignment vertical="center" wrapText="1"/>
    </xf>
    <xf numFmtId="3" fontId="7" fillId="0" borderId="3" xfId="0" applyNumberFormat="1" applyFont="1" applyFill="1" applyBorder="1" applyAlignment="1">
      <alignment vertical="center" wrapText="1"/>
    </xf>
    <xf numFmtId="3" fontId="7" fillId="0" borderId="11" xfId="0" applyNumberFormat="1" applyFont="1" applyFill="1" applyBorder="1" applyAlignment="1">
      <alignment vertical="center" wrapText="1"/>
    </xf>
    <xf numFmtId="168" fontId="7" fillId="0" borderId="11" xfId="0" applyNumberFormat="1" applyFont="1" applyFill="1" applyBorder="1" applyAlignment="1">
      <alignment vertical="center" wrapText="1"/>
    </xf>
    <xf numFmtId="0" fontId="7" fillId="0" borderId="2" xfId="0" applyFont="1" applyFill="1" applyBorder="1" applyAlignment="1">
      <alignment horizontal="right" vertical="center" wrapText="1"/>
    </xf>
    <xf numFmtId="0" fontId="7" fillId="0" borderId="11" xfId="0" applyFont="1" applyFill="1" applyBorder="1" applyAlignment="1">
      <alignment horizontal="right" vertical="center" wrapText="1"/>
    </xf>
    <xf numFmtId="0" fontId="6" fillId="0" borderId="5" xfId="0" applyFont="1" applyBorder="1" applyAlignment="1">
      <alignment horizontal="center" vertical="center"/>
    </xf>
    <xf numFmtId="0" fontId="12" fillId="0" borderId="0" xfId="0" applyFont="1" applyBorder="1" applyAlignment="1">
      <alignment horizontal="right" vertical="center" wrapText="1"/>
    </xf>
    <xf numFmtId="0" fontId="8" fillId="7" borderId="13" xfId="0" applyFont="1" applyFill="1" applyBorder="1" applyAlignment="1">
      <alignment horizontal="right" vertical="center"/>
    </xf>
    <xf numFmtId="0" fontId="8" fillId="0" borderId="10" xfId="0" applyFont="1" applyFill="1" applyBorder="1" applyAlignment="1">
      <alignment horizontal="right" vertical="center" wrapText="1"/>
    </xf>
    <xf numFmtId="0" fontId="8" fillId="0" borderId="2" xfId="0" applyFont="1" applyFill="1" applyBorder="1" applyAlignment="1">
      <alignment horizontal="right" vertical="center"/>
    </xf>
    <xf numFmtId="0" fontId="8" fillId="0" borderId="2" xfId="0" applyFont="1" applyFill="1" applyBorder="1" applyAlignment="1">
      <alignment horizontal="right" vertical="center" wrapText="1"/>
    </xf>
    <xf numFmtId="0" fontId="8" fillId="0" borderId="3" xfId="0" applyFont="1" applyFill="1" applyBorder="1" applyAlignment="1">
      <alignment horizontal="right" vertical="center" wrapText="1"/>
    </xf>
    <xf numFmtId="0" fontId="5" fillId="5" borderId="9" xfId="0" applyFont="1" applyFill="1" applyBorder="1" applyAlignment="1">
      <alignment horizontal="right" vertical="center"/>
    </xf>
    <xf numFmtId="0" fontId="5" fillId="5" borderId="9" xfId="0" applyFont="1" applyFill="1" applyBorder="1" applyAlignment="1">
      <alignment horizontal="left" vertical="center" wrapText="1"/>
    </xf>
    <xf numFmtId="0" fontId="5" fillId="5" borderId="9" xfId="0" applyFont="1" applyFill="1" applyBorder="1" applyAlignment="1">
      <alignment horizontal="center" vertical="center"/>
    </xf>
    <xf numFmtId="0" fontId="7" fillId="5" borderId="9" xfId="0" applyFont="1" applyFill="1" applyBorder="1" applyAlignment="1">
      <alignment horizontal="right" vertical="center" wrapText="1" readingOrder="1"/>
    </xf>
    <xf numFmtId="0" fontId="12" fillId="0" borderId="0" xfId="0" applyFont="1" applyFill="1" applyAlignment="1">
      <alignment horizontal="right" vertical="center" wrapText="1"/>
    </xf>
    <xf numFmtId="165" fontId="7" fillId="0" borderId="2" xfId="0" applyNumberFormat="1" applyFont="1" applyFill="1" applyBorder="1" applyAlignment="1">
      <alignment vertical="center" wrapText="1"/>
    </xf>
    <xf numFmtId="0" fontId="6" fillId="0" borderId="0" xfId="0" applyFont="1" applyFill="1" applyBorder="1" applyAlignment="1">
      <alignment horizontal="right"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horizontal="right" vertical="center" wrapText="1"/>
    </xf>
    <xf numFmtId="0" fontId="9" fillId="0" borderId="0" xfId="0" applyFont="1" applyFill="1" applyBorder="1" applyAlignment="1">
      <alignment horizontal="center" vertical="center"/>
    </xf>
    <xf numFmtId="0" fontId="15" fillId="0" borderId="12" xfId="2" applyFont="1" applyBorder="1" applyAlignment="1">
      <alignment horizontal="right" vertical="center" wrapText="1"/>
    </xf>
    <xf numFmtId="0" fontId="19" fillId="0" borderId="0" xfId="2"/>
    <xf numFmtId="0" fontId="15" fillId="3" borderId="2" xfId="2" applyFont="1" applyFill="1" applyBorder="1" applyAlignment="1">
      <alignment horizontal="right" vertical="center" wrapText="1"/>
    </xf>
    <xf numFmtId="0" fontId="19" fillId="0" borderId="0" xfId="2" applyBorder="1"/>
    <xf numFmtId="165" fontId="19" fillId="0" borderId="0" xfId="2" applyNumberFormat="1" applyBorder="1" applyAlignment="1"/>
    <xf numFmtId="0" fontId="15" fillId="0" borderId="2" xfId="2" applyFont="1" applyBorder="1" applyAlignment="1">
      <alignment horizontal="right" vertical="center" wrapText="1"/>
    </xf>
    <xf numFmtId="3" fontId="17" fillId="0" borderId="3" xfId="3" applyNumberFormat="1" applyFont="1" applyFill="1" applyBorder="1" applyAlignment="1">
      <alignment vertical="center" wrapText="1"/>
    </xf>
    <xf numFmtId="0" fontId="19" fillId="0" borderId="2" xfId="2" applyBorder="1"/>
    <xf numFmtId="0" fontId="15" fillId="0" borderId="2" xfId="2" applyFont="1" applyFill="1" applyBorder="1" applyAlignment="1">
      <alignment horizontal="right" vertical="center" wrapText="1"/>
    </xf>
    <xf numFmtId="0" fontId="17" fillId="0" borderId="2" xfId="3" applyFont="1" applyFill="1" applyBorder="1" applyAlignment="1">
      <alignment vertical="center" wrapText="1"/>
    </xf>
    <xf numFmtId="3" fontId="17" fillId="0" borderId="2" xfId="3" applyNumberFormat="1" applyFont="1" applyFill="1" applyBorder="1" applyAlignment="1">
      <alignment vertical="center" wrapText="1"/>
    </xf>
    <xf numFmtId="0" fontId="15" fillId="0" borderId="3" xfId="2" applyFont="1" applyFill="1" applyBorder="1" applyAlignment="1">
      <alignment horizontal="right" vertical="center" wrapText="1"/>
    </xf>
    <xf numFmtId="1" fontId="17" fillId="3" borderId="0" xfId="2" applyNumberFormat="1" applyFont="1" applyFill="1" applyBorder="1" applyAlignment="1">
      <alignment horizontal="center" vertical="center"/>
    </xf>
    <xf numFmtId="0" fontId="20" fillId="0" borderId="0" xfId="2" applyFont="1" applyFill="1" applyBorder="1" applyAlignment="1">
      <alignment horizontal="right" vertical="center"/>
    </xf>
    <xf numFmtId="1" fontId="17" fillId="0" borderId="0" xfId="3" applyNumberFormat="1" applyFont="1" applyFill="1" applyBorder="1" applyAlignment="1">
      <alignment horizontal="center" vertical="center" wrapText="1"/>
    </xf>
    <xf numFmtId="165" fontId="17" fillId="0" borderId="0" xfId="2" applyNumberFormat="1" applyFont="1" applyFill="1" applyBorder="1" applyAlignment="1">
      <alignment horizontal="center" vertical="center" wrapText="1"/>
    </xf>
    <xf numFmtId="1" fontId="17" fillId="0" borderId="0" xfId="2" applyNumberFormat="1" applyFont="1" applyFill="1" applyBorder="1" applyAlignment="1">
      <alignment horizontal="center" vertical="center"/>
    </xf>
    <xf numFmtId="0" fontId="15" fillId="7" borderId="15" xfId="2" applyFont="1" applyFill="1" applyBorder="1" applyAlignment="1">
      <alignment horizontal="right" vertical="center"/>
    </xf>
    <xf numFmtId="1" fontId="17" fillId="7" borderId="15" xfId="3" applyNumberFormat="1" applyFont="1" applyFill="1" applyBorder="1" applyAlignment="1">
      <alignment vertical="center" wrapText="1"/>
    </xf>
    <xf numFmtId="3" fontId="17" fillId="7" borderId="15" xfId="2" applyNumberFormat="1" applyFont="1" applyFill="1" applyBorder="1" applyAlignment="1">
      <alignment vertical="center" wrapText="1"/>
    </xf>
    <xf numFmtId="3" fontId="17" fillId="7" borderId="15" xfId="3" applyNumberFormat="1" applyFont="1" applyFill="1" applyBorder="1" applyAlignment="1">
      <alignment vertical="center" wrapText="1"/>
    </xf>
    <xf numFmtId="1" fontId="20" fillId="0" borderId="0" xfId="3" applyNumberFormat="1" applyFont="1" applyFill="1" applyBorder="1" applyAlignment="1">
      <alignment horizontal="center" vertical="center" wrapText="1"/>
    </xf>
    <xf numFmtId="0" fontId="16" fillId="7" borderId="13" xfId="0" applyFont="1" applyFill="1" applyBorder="1" applyAlignment="1">
      <alignment horizontal="right" vertical="center" wrapText="1"/>
    </xf>
    <xf numFmtId="165" fontId="17" fillId="7" borderId="15" xfId="2" applyNumberFormat="1" applyFont="1" applyFill="1" applyBorder="1" applyAlignment="1">
      <alignment vertical="center" wrapText="1"/>
    </xf>
    <xf numFmtId="168" fontId="17" fillId="7" borderId="15" xfId="2" applyNumberFormat="1" applyFont="1" applyFill="1" applyBorder="1" applyAlignment="1">
      <alignment vertical="center" wrapText="1"/>
    </xf>
    <xf numFmtId="0" fontId="36" fillId="0" borderId="0" xfId="2" applyFont="1"/>
    <xf numFmtId="0" fontId="36" fillId="0" borderId="0" xfId="2" applyFont="1" applyBorder="1"/>
    <xf numFmtId="165" fontId="36" fillId="0" borderId="0" xfId="2" applyNumberFormat="1" applyFont="1" applyBorder="1" applyAlignment="1"/>
    <xf numFmtId="1" fontId="35" fillId="3" borderId="0" xfId="2" applyNumberFormat="1" applyFont="1" applyFill="1" applyBorder="1" applyAlignment="1">
      <alignment horizontal="center" vertical="center"/>
    </xf>
    <xf numFmtId="0" fontId="15" fillId="0" borderId="8" xfId="2" applyFont="1" applyBorder="1" applyAlignment="1">
      <alignment horizontal="center" vertical="center"/>
    </xf>
    <xf numFmtId="0" fontId="33" fillId="0" borderId="8" xfId="2" applyFont="1" applyBorder="1" applyAlignment="1">
      <alignment vertical="center" readingOrder="2"/>
    </xf>
    <xf numFmtId="0" fontId="26" fillId="0" borderId="8" xfId="2" applyFont="1" applyBorder="1" applyAlignment="1">
      <alignment vertical="center" readingOrder="2"/>
    </xf>
    <xf numFmtId="3" fontId="17" fillId="0" borderId="2" xfId="3" applyNumberFormat="1" applyFont="1" applyFill="1" applyBorder="1" applyAlignment="1">
      <alignment vertical="center" wrapText="1" readingOrder="2"/>
    </xf>
    <xf numFmtId="0" fontId="15" fillId="0" borderId="2" xfId="2" applyFont="1" applyFill="1" applyBorder="1" applyAlignment="1">
      <alignment vertical="center" wrapText="1" readingOrder="2"/>
    </xf>
    <xf numFmtId="3" fontId="17" fillId="7" borderId="15" xfId="3" applyNumberFormat="1" applyFont="1" applyFill="1" applyBorder="1" applyAlignment="1">
      <alignment vertical="center" wrapText="1" readingOrder="2"/>
    </xf>
    <xf numFmtId="1" fontId="17" fillId="0" borderId="2" xfId="3" applyNumberFormat="1" applyFont="1" applyFill="1" applyBorder="1" applyAlignment="1">
      <alignment vertical="center" wrapText="1"/>
    </xf>
    <xf numFmtId="0" fontId="33" fillId="3" borderId="0" xfId="2" applyFont="1" applyFill="1" applyAlignment="1">
      <alignment vertical="center"/>
    </xf>
    <xf numFmtId="0" fontId="26" fillId="3" borderId="0" xfId="2" applyFont="1" applyFill="1" applyAlignment="1">
      <alignment vertical="center"/>
    </xf>
    <xf numFmtId="0" fontId="8" fillId="7" borderId="13" xfId="2" applyFont="1" applyFill="1" applyBorder="1" applyAlignment="1">
      <alignment horizontal="right" vertical="center" wrapText="1"/>
    </xf>
    <xf numFmtId="0" fontId="19" fillId="0" borderId="0" xfId="3"/>
    <xf numFmtId="0" fontId="19" fillId="0" borderId="0" xfId="3" applyBorder="1"/>
    <xf numFmtId="0" fontId="8" fillId="7" borderId="13" xfId="3" applyFont="1" applyFill="1" applyBorder="1" applyAlignment="1">
      <alignment horizontal="right" vertical="center" wrapText="1"/>
    </xf>
    <xf numFmtId="0" fontId="8" fillId="7" borderId="13" xfId="3" applyFont="1" applyFill="1" applyBorder="1" applyAlignment="1">
      <alignment horizontal="right" vertical="center"/>
    </xf>
    <xf numFmtId="0" fontId="19" fillId="0" borderId="2" xfId="2" applyFill="1" applyBorder="1"/>
    <xf numFmtId="0" fontId="19" fillId="0" borderId="0" xfId="2" applyFill="1"/>
    <xf numFmtId="0" fontId="17" fillId="7" borderId="15" xfId="2" applyFont="1" applyFill="1" applyBorder="1" applyAlignment="1">
      <alignment horizontal="right" vertical="center"/>
    </xf>
    <xf numFmtId="3" fontId="17" fillId="7" borderId="15" xfId="2" applyNumberFormat="1" applyFont="1" applyFill="1" applyBorder="1" applyAlignment="1">
      <alignment horizontal="right" vertical="center"/>
    </xf>
    <xf numFmtId="165" fontId="7" fillId="0" borderId="10" xfId="0" applyNumberFormat="1" applyFont="1" applyFill="1" applyBorder="1" applyAlignment="1">
      <alignment vertical="center" wrapText="1"/>
    </xf>
    <xf numFmtId="1" fontId="7" fillId="0" borderId="10" xfId="0" applyNumberFormat="1" applyFont="1" applyFill="1" applyBorder="1" applyAlignment="1">
      <alignment vertical="center" wrapText="1"/>
    </xf>
    <xf numFmtId="1" fontId="7" fillId="0" borderId="2" xfId="0" applyNumberFormat="1" applyFont="1" applyFill="1" applyBorder="1" applyAlignment="1">
      <alignment vertical="center" wrapText="1"/>
    </xf>
    <xf numFmtId="165" fontId="7" fillId="0" borderId="2" xfId="0" applyNumberFormat="1" applyFont="1" applyFill="1" applyBorder="1" applyAlignment="1">
      <alignment horizontal="center" vertical="center" wrapText="1"/>
    </xf>
    <xf numFmtId="0" fontId="8" fillId="6" borderId="7" xfId="0" applyFont="1" applyFill="1" applyBorder="1" applyAlignment="1">
      <alignment vertical="center" wrapText="1" readingOrder="2"/>
    </xf>
    <xf numFmtId="166" fontId="17" fillId="0" borderId="2" xfId="1" applyNumberFormat="1" applyFont="1" applyFill="1" applyBorder="1" applyAlignment="1">
      <alignment vertical="center" wrapText="1" readingOrder="2"/>
    </xf>
    <xf numFmtId="166" fontId="17" fillId="7" borderId="15" xfId="1" applyNumberFormat="1" applyFont="1" applyFill="1" applyBorder="1" applyAlignment="1">
      <alignment vertical="center" wrapText="1" readingOrder="2"/>
    </xf>
    <xf numFmtId="0" fontId="4" fillId="6" borderId="7" xfId="0" applyFont="1" applyFill="1" applyBorder="1" applyAlignment="1">
      <alignment horizontal="right" vertical="center" wrapText="1"/>
    </xf>
    <xf numFmtId="0" fontId="18" fillId="0" borderId="0" xfId="2" applyFont="1" applyFill="1" applyBorder="1" applyAlignment="1">
      <alignment horizontal="center" vertical="center" wrapText="1"/>
    </xf>
    <xf numFmtId="0" fontId="34" fillId="0" borderId="0" xfId="2" applyFont="1" applyFill="1" applyBorder="1" applyAlignment="1">
      <alignment horizontal="center" vertical="center" wrapText="1"/>
    </xf>
    <xf numFmtId="0" fontId="4" fillId="6" borderId="9" xfId="2" applyFont="1" applyFill="1" applyBorder="1" applyAlignment="1">
      <alignment horizontal="center" vertical="center" wrapText="1" readingOrder="2"/>
    </xf>
    <xf numFmtId="0" fontId="4" fillId="6" borderId="9" xfId="3" applyFont="1" applyFill="1" applyBorder="1" applyAlignment="1">
      <alignment vertical="center" wrapText="1"/>
    </xf>
    <xf numFmtId="0" fontId="4" fillId="6" borderId="9" xfId="2" applyFont="1" applyFill="1" applyBorder="1" applyAlignment="1">
      <alignment vertical="center" wrapText="1"/>
    </xf>
    <xf numFmtId="0" fontId="6" fillId="0" borderId="5" xfId="0" applyFont="1" applyBorder="1" applyAlignment="1">
      <alignment horizontal="left" vertical="center"/>
    </xf>
    <xf numFmtId="0" fontId="8" fillId="7" borderId="6" xfId="0" applyFont="1" applyFill="1" applyBorder="1" applyAlignment="1">
      <alignment horizontal="right" vertical="center" wrapText="1"/>
    </xf>
    <xf numFmtId="0" fontId="0" fillId="6" borderId="9" xfId="0" applyFill="1" applyBorder="1"/>
    <xf numFmtId="0" fontId="42" fillId="7" borderId="13" xfId="0" applyFont="1" applyFill="1" applyBorder="1" applyAlignment="1">
      <alignment horizontal="right" vertical="center" wrapText="1" readingOrder="2"/>
    </xf>
    <xf numFmtId="0" fontId="11" fillId="0" borderId="5" xfId="0" applyFont="1" applyFill="1" applyBorder="1" applyAlignment="1">
      <alignment vertical="center"/>
    </xf>
    <xf numFmtId="3" fontId="17" fillId="0" borderId="2" xfId="2" applyNumberFormat="1" applyFont="1" applyFill="1" applyBorder="1" applyAlignment="1">
      <alignment vertical="center" wrapText="1"/>
    </xf>
    <xf numFmtId="3" fontId="17" fillId="0" borderId="2" xfId="2" applyNumberFormat="1" applyFont="1" applyFill="1" applyBorder="1" applyAlignment="1">
      <alignment vertical="center"/>
    </xf>
    <xf numFmtId="166" fontId="7" fillId="0" borderId="3" xfId="1" applyNumberFormat="1" applyFont="1" applyFill="1" applyBorder="1" applyAlignment="1">
      <alignment horizontal="left" vertical="center" wrapText="1"/>
    </xf>
    <xf numFmtId="166" fontId="7" fillId="0" borderId="2" xfId="1" applyNumberFormat="1" applyFont="1" applyFill="1" applyBorder="1" applyAlignment="1">
      <alignment horizontal="left" vertical="center" wrapText="1"/>
    </xf>
    <xf numFmtId="2" fontId="7" fillId="0" borderId="10" xfId="0" applyNumberFormat="1" applyFont="1" applyFill="1" applyBorder="1" applyAlignment="1">
      <alignment horizontal="left" vertical="center" wrapText="1"/>
    </xf>
    <xf numFmtId="1" fontId="7" fillId="0" borderId="10" xfId="0" applyNumberFormat="1" applyFont="1" applyFill="1" applyBorder="1" applyAlignment="1">
      <alignment horizontal="left" vertical="center" wrapText="1"/>
    </xf>
    <xf numFmtId="165" fontId="7" fillId="0" borderId="10" xfId="0" applyNumberFormat="1" applyFont="1" applyFill="1" applyBorder="1" applyAlignment="1">
      <alignment horizontal="left" vertical="center" wrapText="1"/>
    </xf>
    <xf numFmtId="3" fontId="7" fillId="0" borderId="10" xfId="0" applyNumberFormat="1" applyFont="1" applyFill="1" applyBorder="1" applyAlignment="1">
      <alignment horizontal="left" vertical="center" wrapText="1"/>
    </xf>
    <xf numFmtId="4" fontId="7" fillId="0" borderId="10" xfId="0" applyNumberFormat="1" applyFont="1" applyFill="1" applyBorder="1" applyAlignment="1">
      <alignment horizontal="left" vertical="center" wrapText="1"/>
    </xf>
    <xf numFmtId="168" fontId="7" fillId="0" borderId="10" xfId="0" applyNumberFormat="1" applyFont="1" applyFill="1" applyBorder="1" applyAlignment="1">
      <alignment horizontal="left" vertical="center" wrapText="1"/>
    </xf>
    <xf numFmtId="3" fontId="7" fillId="0" borderId="2" xfId="0" applyNumberFormat="1" applyFont="1" applyFill="1" applyBorder="1" applyAlignment="1">
      <alignment horizontal="left" vertical="center" wrapText="1"/>
    </xf>
    <xf numFmtId="4" fontId="7" fillId="0" borderId="2" xfId="0" applyNumberFormat="1" applyFont="1" applyFill="1" applyBorder="1" applyAlignment="1">
      <alignment horizontal="left" vertical="center" wrapText="1"/>
    </xf>
    <xf numFmtId="168" fontId="7" fillId="0" borderId="2" xfId="0" applyNumberFormat="1" applyFont="1" applyFill="1" applyBorder="1" applyAlignment="1">
      <alignment horizontal="left" vertical="center" wrapText="1"/>
    </xf>
    <xf numFmtId="3" fontId="7" fillId="0" borderId="12" xfId="0" applyNumberFormat="1" applyFont="1" applyFill="1" applyBorder="1" applyAlignment="1">
      <alignment horizontal="left" vertical="center" wrapText="1"/>
    </xf>
    <xf numFmtId="168" fontId="7" fillId="0" borderId="12" xfId="0" applyNumberFormat="1" applyFont="1" applyFill="1" applyBorder="1" applyAlignment="1">
      <alignment horizontal="left" vertical="center" wrapText="1"/>
    </xf>
    <xf numFmtId="168" fontId="7" fillId="0" borderId="3" xfId="0" applyNumberFormat="1" applyFont="1" applyFill="1" applyBorder="1" applyAlignment="1">
      <alignment horizontal="left" vertical="center" wrapText="1"/>
    </xf>
    <xf numFmtId="3" fontId="7" fillId="0" borderId="3" xfId="0" applyNumberFormat="1" applyFont="1" applyFill="1" applyBorder="1" applyAlignment="1">
      <alignment horizontal="left" vertical="center" wrapText="1"/>
    </xf>
    <xf numFmtId="4" fontId="7" fillId="0" borderId="3" xfId="0" applyNumberFormat="1" applyFont="1" applyFill="1" applyBorder="1" applyAlignment="1">
      <alignment horizontal="left" vertical="center" wrapText="1"/>
    </xf>
    <xf numFmtId="3" fontId="7" fillId="0" borderId="11" xfId="0" applyNumberFormat="1" applyFont="1" applyFill="1" applyBorder="1" applyAlignment="1">
      <alignment horizontal="left" vertical="center" wrapText="1"/>
    </xf>
    <xf numFmtId="168" fontId="7" fillId="0" borderId="11" xfId="0" applyNumberFormat="1" applyFont="1" applyFill="1" applyBorder="1" applyAlignment="1">
      <alignment horizontal="left" vertical="center" wrapText="1"/>
    </xf>
    <xf numFmtId="43" fontId="7" fillId="0" borderId="10" xfId="1" applyFont="1" applyFill="1" applyBorder="1" applyAlignment="1">
      <alignment horizontal="left" vertical="center" wrapText="1"/>
    </xf>
    <xf numFmtId="166" fontId="7" fillId="0" borderId="10" xfId="1" applyNumberFormat="1" applyFont="1" applyFill="1" applyBorder="1" applyAlignment="1">
      <alignment horizontal="left" vertical="center" wrapText="1"/>
    </xf>
    <xf numFmtId="43" fontId="7" fillId="0" borderId="10" xfId="1" applyNumberFormat="1" applyFont="1" applyFill="1" applyBorder="1" applyAlignment="1">
      <alignment horizontal="left" vertical="center" wrapText="1"/>
    </xf>
    <xf numFmtId="43" fontId="7" fillId="0" borderId="2" xfId="1" applyFont="1" applyFill="1" applyBorder="1" applyAlignment="1">
      <alignment horizontal="left" vertical="center" wrapText="1"/>
    </xf>
    <xf numFmtId="166" fontId="7" fillId="0" borderId="2" xfId="0" applyNumberFormat="1" applyFont="1" applyFill="1" applyBorder="1" applyAlignment="1">
      <alignment horizontal="left" vertical="center" wrapText="1"/>
    </xf>
    <xf numFmtId="165" fontId="7" fillId="0" borderId="2" xfId="0" applyNumberFormat="1" applyFont="1" applyFill="1" applyBorder="1" applyAlignment="1">
      <alignment horizontal="left" vertical="center" wrapText="1"/>
    </xf>
    <xf numFmtId="2" fontId="7" fillId="0" borderId="2" xfId="0" applyNumberFormat="1" applyFont="1" applyFill="1" applyBorder="1" applyAlignment="1">
      <alignment horizontal="left" vertical="center" wrapText="1"/>
    </xf>
    <xf numFmtId="43" fontId="7" fillId="0" borderId="2" xfId="0" applyNumberFormat="1" applyFont="1" applyFill="1" applyBorder="1" applyAlignment="1">
      <alignment horizontal="left" vertical="center" wrapText="1"/>
    </xf>
    <xf numFmtId="167" fontId="7" fillId="0" borderId="2" xfId="1" applyNumberFormat="1" applyFont="1" applyFill="1" applyBorder="1" applyAlignment="1">
      <alignment horizontal="left" vertical="center" wrapText="1"/>
    </xf>
    <xf numFmtId="1" fontId="7" fillId="0" borderId="2" xfId="0" applyNumberFormat="1" applyFont="1" applyFill="1" applyBorder="1" applyAlignment="1">
      <alignment horizontal="left" vertical="center" wrapText="1"/>
    </xf>
    <xf numFmtId="166" fontId="7" fillId="0" borderId="11" xfId="1" applyNumberFormat="1" applyFont="1" applyFill="1" applyBorder="1" applyAlignment="1">
      <alignment horizontal="left" vertical="center" wrapText="1"/>
    </xf>
    <xf numFmtId="0" fontId="7" fillId="0" borderId="12" xfId="0" applyFont="1" applyFill="1" applyBorder="1" applyAlignment="1">
      <alignment horizontal="left" vertical="center" wrapText="1"/>
    </xf>
    <xf numFmtId="1" fontId="19" fillId="0" borderId="0" xfId="2" applyNumberFormat="1" applyBorder="1"/>
    <xf numFmtId="168" fontId="17" fillId="7" borderId="15" xfId="3" applyNumberFormat="1" applyFont="1" applyFill="1" applyBorder="1" applyAlignment="1">
      <alignment vertical="center" wrapText="1"/>
    </xf>
    <xf numFmtId="3" fontId="17" fillId="0" borderId="0" xfId="2" applyNumberFormat="1" applyFont="1" applyFill="1" applyBorder="1" applyAlignment="1">
      <alignment vertical="center" wrapText="1"/>
    </xf>
    <xf numFmtId="1" fontId="17" fillId="7" borderId="15" xfId="2" applyNumberFormat="1" applyFont="1" applyFill="1" applyBorder="1" applyAlignment="1">
      <alignment vertical="center"/>
    </xf>
    <xf numFmtId="3" fontId="17" fillId="0" borderId="10" xfId="3" applyNumberFormat="1" applyFont="1" applyBorder="1" applyAlignment="1">
      <alignment horizontal="right" vertical="center" wrapText="1"/>
    </xf>
    <xf numFmtId="3" fontId="17" fillId="0" borderId="2" xfId="3" applyNumberFormat="1" applyFont="1" applyBorder="1" applyAlignment="1">
      <alignment horizontal="right" vertical="center" wrapText="1"/>
    </xf>
    <xf numFmtId="0" fontId="17" fillId="0" borderId="10" xfId="2" applyFont="1" applyBorder="1" applyAlignment="1">
      <alignment vertical="center" wrapText="1" readingOrder="2"/>
    </xf>
    <xf numFmtId="0" fontId="17" fillId="3" borderId="2" xfId="2" applyFont="1" applyFill="1" applyBorder="1" applyAlignment="1">
      <alignment vertical="center" wrapText="1" readingOrder="2"/>
    </xf>
    <xf numFmtId="0" fontId="17" fillId="0" borderId="2" xfId="2" applyFont="1" applyBorder="1" applyAlignment="1">
      <alignment vertical="center" wrapText="1" readingOrder="2"/>
    </xf>
    <xf numFmtId="0" fontId="17" fillId="0" borderId="2" xfId="2" applyFont="1" applyFill="1" applyBorder="1" applyAlignment="1">
      <alignment vertical="center" wrapText="1" readingOrder="2"/>
    </xf>
    <xf numFmtId="0" fontId="17" fillId="0" borderId="11" xfId="2" applyFont="1" applyFill="1" applyBorder="1" applyAlignment="1">
      <alignment vertical="center" wrapText="1" readingOrder="2"/>
    </xf>
    <xf numFmtId="0" fontId="17" fillId="0" borderId="3" xfId="2" applyFont="1" applyFill="1" applyBorder="1" applyAlignment="1">
      <alignment vertical="center" wrapText="1" readingOrder="2"/>
    </xf>
    <xf numFmtId="165" fontId="17" fillId="0" borderId="2" xfId="2" applyNumberFormat="1" applyFont="1" applyBorder="1" applyAlignment="1">
      <alignment vertical="center" wrapText="1" readingOrder="2"/>
    </xf>
    <xf numFmtId="3" fontId="17" fillId="0" borderId="11" xfId="3" applyNumberFormat="1" applyFont="1" applyFill="1" applyBorder="1" applyAlignment="1">
      <alignment horizontal="right" vertical="center" wrapText="1"/>
    </xf>
    <xf numFmtId="0" fontId="7" fillId="0" borderId="10" xfId="0" applyFont="1" applyBorder="1" applyAlignment="1">
      <alignment horizontal="right" vertical="center" wrapText="1"/>
    </xf>
    <xf numFmtId="166" fontId="17" fillId="0" borderId="3" xfId="1" applyNumberFormat="1" applyFont="1" applyFill="1" applyBorder="1" applyAlignment="1">
      <alignment vertical="center" wrapText="1" readingOrder="2"/>
    </xf>
    <xf numFmtId="169" fontId="1" fillId="0" borderId="0" xfId="0" applyNumberFormat="1" applyFont="1" applyAlignment="1">
      <alignment vertical="center"/>
    </xf>
    <xf numFmtId="169" fontId="11" fillId="0" borderId="0" xfId="0" applyNumberFormat="1" applyFont="1" applyBorder="1" applyAlignment="1">
      <alignment horizontal="center" vertical="center"/>
    </xf>
    <xf numFmtId="168" fontId="17" fillId="0" borderId="2" xfId="3" applyNumberFormat="1" applyFont="1" applyFill="1" applyBorder="1" applyAlignment="1">
      <alignment vertical="center" wrapText="1"/>
    </xf>
    <xf numFmtId="165" fontId="17" fillId="0" borderId="0" xfId="2" applyNumberFormat="1" applyFont="1" applyFill="1" applyBorder="1" applyAlignment="1">
      <alignment vertical="center"/>
    </xf>
    <xf numFmtId="0" fontId="20" fillId="0" borderId="0" xfId="2" applyFont="1" applyFill="1" applyBorder="1" applyAlignment="1">
      <alignment horizontal="right" vertical="center" readingOrder="2"/>
    </xf>
    <xf numFmtId="165" fontId="19" fillId="0" borderId="9" xfId="2" applyNumberFormat="1" applyBorder="1" applyAlignment="1"/>
    <xf numFmtId="0" fontId="19" fillId="0" borderId="9" xfId="2" applyBorder="1"/>
    <xf numFmtId="165" fontId="7" fillId="0" borderId="11" xfId="0" applyNumberFormat="1" applyFont="1" applyBorder="1" applyAlignment="1">
      <alignment vertical="center" wrapText="1"/>
    </xf>
    <xf numFmtId="0" fontId="4" fillId="7" borderId="15" xfId="0" applyFont="1" applyFill="1" applyBorder="1" applyAlignment="1">
      <alignment horizontal="right" vertical="center" wrapText="1"/>
    </xf>
    <xf numFmtId="165" fontId="7" fillId="7" borderId="15" xfId="0" applyNumberFormat="1" applyFont="1" applyFill="1" applyBorder="1" applyAlignment="1">
      <alignment vertical="center" wrapText="1"/>
    </xf>
    <xf numFmtId="166" fontId="7" fillId="7" borderId="13" xfId="1" applyNumberFormat="1" applyFont="1" applyFill="1" applyBorder="1" applyAlignment="1">
      <alignment vertical="center" wrapText="1"/>
    </xf>
    <xf numFmtId="166" fontId="19" fillId="0" borderId="0" xfId="1" applyNumberFormat="1" applyFont="1"/>
    <xf numFmtId="0" fontId="4" fillId="6" borderId="9" xfId="0" applyFont="1" applyFill="1" applyBorder="1" applyAlignment="1">
      <alignment horizontal="right" vertical="center" wrapText="1"/>
    </xf>
    <xf numFmtId="0" fontId="4" fillId="6" borderId="9" xfId="2" applyFont="1" applyFill="1" applyBorder="1" applyAlignment="1">
      <alignment horizontal="center" vertical="center" wrapText="1" readingOrder="2"/>
    </xf>
    <xf numFmtId="0" fontId="7" fillId="0" borderId="10" xfId="0" applyNumberFormat="1" applyFont="1" applyFill="1" applyBorder="1" applyAlignment="1">
      <alignment vertical="center" wrapText="1"/>
    </xf>
    <xf numFmtId="0" fontId="7" fillId="0" borderId="2" xfId="0" applyNumberFormat="1" applyFont="1" applyFill="1" applyBorder="1" applyAlignment="1">
      <alignment vertical="center" wrapText="1"/>
    </xf>
    <xf numFmtId="0" fontId="23" fillId="0" borderId="0" xfId="0" applyNumberFormat="1" applyFont="1" applyFill="1" applyAlignment="1">
      <alignment horizontal="center" wrapText="1"/>
    </xf>
    <xf numFmtId="0" fontId="7" fillId="0" borderId="2" xfId="0" applyFont="1" applyFill="1" applyBorder="1" applyAlignment="1">
      <alignment vertical="center" wrapText="1" readingOrder="2"/>
    </xf>
    <xf numFmtId="0" fontId="7" fillId="0" borderId="11" xfId="0" applyFont="1" applyFill="1" applyBorder="1" applyAlignment="1">
      <alignment vertical="center" wrapText="1" readingOrder="2"/>
    </xf>
    <xf numFmtId="0" fontId="7" fillId="0" borderId="0" xfId="0" applyNumberFormat="1" applyFont="1" applyFill="1" applyBorder="1" applyAlignment="1">
      <alignment vertical="center" wrapText="1"/>
    </xf>
    <xf numFmtId="0" fontId="8" fillId="0" borderId="0" xfId="0" applyNumberFormat="1" applyFont="1" applyFill="1" applyBorder="1" applyAlignment="1">
      <alignment horizontal="right" vertical="center" wrapText="1"/>
    </xf>
    <xf numFmtId="0" fontId="8" fillId="0" borderId="5" xfId="0" applyNumberFormat="1" applyFont="1" applyFill="1" applyBorder="1" applyAlignment="1">
      <alignment vertical="center"/>
    </xf>
    <xf numFmtId="0" fontId="0" fillId="0" borderId="0" xfId="0" applyBorder="1" applyAlignment="1">
      <alignment horizontal="center" vertical="center" wrapText="1"/>
    </xf>
    <xf numFmtId="3" fontId="17" fillId="3" borderId="0" xfId="2" applyNumberFormat="1" applyFont="1" applyFill="1" applyBorder="1" applyAlignment="1">
      <alignment horizontal="left" vertical="center"/>
    </xf>
    <xf numFmtId="0" fontId="1" fillId="0" borderId="0" xfId="0" applyFont="1" applyBorder="1" applyAlignment="1">
      <alignment horizontal="center" vertical="center" wrapText="1"/>
    </xf>
    <xf numFmtId="0" fontId="24" fillId="0" borderId="0" xfId="0" applyFont="1" applyBorder="1" applyAlignment="1">
      <alignment horizontal="center" vertical="center" wrapText="1"/>
    </xf>
    <xf numFmtId="0" fontId="19" fillId="0" borderId="0" xfId="3" applyBorder="1" applyAlignment="1">
      <alignment horizontal="center"/>
    </xf>
    <xf numFmtId="0" fontId="19" fillId="0" borderId="0" xfId="3" applyAlignment="1">
      <alignment horizontal="center"/>
    </xf>
    <xf numFmtId="166" fontId="26" fillId="0" borderId="0" xfId="1" applyNumberFormat="1" applyFont="1" applyBorder="1" applyAlignment="1">
      <alignment horizontal="center"/>
    </xf>
    <xf numFmtId="166" fontId="19" fillId="0" borderId="0" xfId="2" applyNumberFormat="1" applyAlignment="1">
      <alignment horizontal="center"/>
    </xf>
    <xf numFmtId="1" fontId="19" fillId="0" borderId="0" xfId="2" applyNumberFormat="1" applyAlignment="1">
      <alignment horizontal="center"/>
    </xf>
    <xf numFmtId="0" fontId="19" fillId="0" borderId="0" xfId="2" applyAlignment="1">
      <alignment horizontal="center"/>
    </xf>
    <xf numFmtId="166" fontId="19" fillId="0" borderId="0" xfId="2" applyNumberFormat="1" applyBorder="1" applyAlignment="1">
      <alignment horizontal="center"/>
    </xf>
    <xf numFmtId="166" fontId="19" fillId="0" borderId="0" xfId="3" applyNumberFormat="1" applyBorder="1" applyAlignment="1">
      <alignment horizontal="center"/>
    </xf>
    <xf numFmtId="166" fontId="19" fillId="0" borderId="0" xfId="3" applyNumberFormat="1" applyAlignment="1">
      <alignment horizontal="center"/>
    </xf>
    <xf numFmtId="3" fontId="0" fillId="0" borderId="0" xfId="0" applyNumberFormat="1"/>
    <xf numFmtId="3" fontId="17" fillId="0" borderId="12" xfId="3" applyNumberFormat="1" applyFont="1" applyFill="1" applyBorder="1" applyAlignment="1">
      <alignment vertical="center" wrapText="1"/>
    </xf>
    <xf numFmtId="0" fontId="19" fillId="0" borderId="0" xfId="2" applyFill="1" applyBorder="1"/>
    <xf numFmtId="0" fontId="19" fillId="0" borderId="0" xfId="2" applyFill="1" applyBorder="1" applyAlignment="1"/>
    <xf numFmtId="165" fontId="17" fillId="0" borderId="2" xfId="2" applyNumberFormat="1" applyFont="1" applyFill="1" applyBorder="1" applyAlignment="1">
      <alignment vertical="center" wrapText="1"/>
    </xf>
    <xf numFmtId="1" fontId="19" fillId="0" borderId="0" xfId="3" applyNumberFormat="1"/>
    <xf numFmtId="166" fontId="19" fillId="0" borderId="0" xfId="3" applyNumberFormat="1"/>
    <xf numFmtId="165" fontId="17" fillId="0" borderId="11" xfId="2" applyNumberFormat="1" applyFont="1" applyBorder="1" applyAlignment="1">
      <alignment vertical="center" wrapText="1" readingOrder="2"/>
    </xf>
    <xf numFmtId="1" fontId="19" fillId="0" borderId="0" xfId="3" applyNumberFormat="1" applyAlignment="1">
      <alignment horizontal="center"/>
    </xf>
    <xf numFmtId="0" fontId="8" fillId="0" borderId="0" xfId="0" applyFont="1" applyFill="1" applyBorder="1" applyAlignment="1">
      <alignment horizontal="right" vertical="center" wrapText="1"/>
    </xf>
    <xf numFmtId="0" fontId="4" fillId="6" borderId="9" xfId="0" applyFont="1" applyFill="1" applyBorder="1" applyAlignment="1">
      <alignment horizontal="center" vertical="center" wrapText="1"/>
    </xf>
    <xf numFmtId="2" fontId="7" fillId="7" borderId="15" xfId="0" applyNumberFormat="1" applyFont="1" applyFill="1" applyBorder="1" applyAlignment="1">
      <alignment vertical="center" wrapText="1"/>
    </xf>
    <xf numFmtId="43" fontId="7" fillId="7" borderId="15" xfId="1" applyNumberFormat="1" applyFont="1" applyFill="1" applyBorder="1" applyAlignment="1">
      <alignment horizontal="right" vertical="center" wrapText="1"/>
    </xf>
    <xf numFmtId="2" fontId="7" fillId="0" borderId="10" xfId="0" applyNumberFormat="1" applyFont="1" applyBorder="1" applyAlignment="1">
      <alignment vertical="center" wrapText="1" readingOrder="2"/>
    </xf>
    <xf numFmtId="2" fontId="7" fillId="0" borderId="2" xfId="0" applyNumberFormat="1" applyFont="1" applyBorder="1" applyAlignment="1">
      <alignment vertical="center" wrapText="1" readingOrder="2"/>
    </xf>
    <xf numFmtId="2" fontId="7" fillId="0" borderId="3" xfId="0" applyNumberFormat="1" applyFont="1" applyBorder="1" applyAlignment="1">
      <alignment vertical="center" wrapText="1" readingOrder="2"/>
    </xf>
    <xf numFmtId="2" fontId="7" fillId="0" borderId="2" xfId="0" applyNumberFormat="1" applyFont="1" applyFill="1" applyBorder="1" applyAlignment="1">
      <alignment vertical="center" wrapText="1" readingOrder="2"/>
    </xf>
    <xf numFmtId="2" fontId="7" fillId="0" borderId="3" xfId="0" applyNumberFormat="1" applyFont="1" applyFill="1" applyBorder="1" applyAlignment="1">
      <alignment vertical="center" wrapText="1" readingOrder="2"/>
    </xf>
    <xf numFmtId="2" fontId="7" fillId="7" borderId="15" xfId="0" applyNumberFormat="1" applyFont="1" applyFill="1" applyBorder="1" applyAlignment="1">
      <alignment vertical="center" wrapText="1" readingOrder="2"/>
    </xf>
    <xf numFmtId="0" fontId="7" fillId="0" borderId="0" xfId="0" applyFont="1" applyBorder="1" applyAlignment="1">
      <alignment horizontal="right" vertical="center" wrapText="1"/>
    </xf>
    <xf numFmtId="166" fontId="7" fillId="0" borderId="0" xfId="1" applyNumberFormat="1" applyFont="1" applyFill="1" applyBorder="1" applyAlignment="1">
      <alignment vertical="center" wrapText="1"/>
    </xf>
    <xf numFmtId="0" fontId="8" fillId="0" borderId="9" xfId="0" applyFont="1" applyBorder="1" applyAlignment="1">
      <alignment vertical="center" wrapText="1"/>
    </xf>
    <xf numFmtId="166" fontId="1" fillId="0" borderId="0" xfId="1" applyNumberFormat="1" applyFont="1" applyAlignment="1">
      <alignment vertical="center"/>
    </xf>
    <xf numFmtId="1" fontId="7" fillId="0" borderId="0" xfId="0" applyNumberFormat="1" applyFont="1" applyBorder="1" applyAlignment="1">
      <alignment horizontal="center" vertical="center" wrapText="1"/>
    </xf>
    <xf numFmtId="0" fontId="6" fillId="0" borderId="0" xfId="0" applyFont="1" applyBorder="1" applyAlignment="1">
      <alignment horizontal="center" vertical="center"/>
    </xf>
    <xf numFmtId="0" fontId="12" fillId="0" borderId="0" xfId="0" applyFont="1" applyAlignment="1">
      <alignment horizontal="right" vertical="center" wrapText="1"/>
    </xf>
    <xf numFmtId="166" fontId="7" fillId="0" borderId="2" xfId="1" applyNumberFormat="1" applyFont="1" applyFill="1" applyBorder="1" applyAlignment="1">
      <alignment vertical="center" wrapText="1"/>
    </xf>
    <xf numFmtId="168" fontId="0" fillId="0" borderId="0" xfId="0" applyNumberFormat="1"/>
    <xf numFmtId="0" fontId="8" fillId="0" borderId="0" xfId="0" applyFont="1" applyFill="1" applyBorder="1" applyAlignment="1">
      <alignment horizontal="right" vertical="center" wrapText="1"/>
    </xf>
    <xf numFmtId="0" fontId="4" fillId="6" borderId="9" xfId="2" applyFont="1" applyFill="1" applyBorder="1" applyAlignment="1">
      <alignment horizontal="right" vertical="center" wrapText="1"/>
    </xf>
    <xf numFmtId="0" fontId="4" fillId="6" borderId="7" xfId="2" applyFont="1" applyFill="1" applyBorder="1" applyAlignment="1">
      <alignment horizontal="right" vertical="center" wrapText="1"/>
    </xf>
    <xf numFmtId="3" fontId="19" fillId="0" borderId="0" xfId="2" applyNumberFormat="1"/>
    <xf numFmtId="2" fontId="0" fillId="0" borderId="0" xfId="0" applyNumberFormat="1" applyAlignment="1">
      <alignment horizontal="center" vertical="center"/>
    </xf>
    <xf numFmtId="0" fontId="4" fillId="0" borderId="10" xfId="0" applyFont="1" applyBorder="1" applyAlignment="1">
      <alignment horizontal="right" vertical="center" wrapText="1"/>
    </xf>
    <xf numFmtId="0" fontId="7" fillId="0" borderId="6" xfId="0" applyFont="1" applyBorder="1" applyAlignment="1">
      <alignment horizontal="right" vertical="center" wrapText="1"/>
    </xf>
    <xf numFmtId="0" fontId="4" fillId="0" borderId="0" xfId="0" applyFont="1" applyBorder="1" applyAlignment="1">
      <alignment horizontal="right" vertical="center" wrapText="1"/>
    </xf>
    <xf numFmtId="0" fontId="8" fillId="0" borderId="5" xfId="0" applyFont="1" applyBorder="1" applyAlignment="1">
      <alignment vertical="center"/>
    </xf>
    <xf numFmtId="0" fontId="7" fillId="0" borderId="0" xfId="0" applyFont="1" applyBorder="1" applyAlignment="1">
      <alignment horizontal="right" vertical="center" wrapText="1"/>
    </xf>
    <xf numFmtId="43" fontId="7" fillId="0" borderId="2" xfId="1" applyNumberFormat="1" applyFont="1" applyFill="1" applyBorder="1" applyAlignment="1">
      <alignment horizontal="left" vertical="center" wrapText="1"/>
    </xf>
    <xf numFmtId="166" fontId="7" fillId="0" borderId="12" xfId="1" applyNumberFormat="1" applyFont="1" applyFill="1" applyBorder="1" applyAlignment="1">
      <alignment horizontal="left" vertical="center" wrapText="1"/>
    </xf>
    <xf numFmtId="0" fontId="8" fillId="0" borderId="0" xfId="0" applyFont="1" applyFill="1" applyBorder="1" applyAlignment="1">
      <alignment horizontal="right" vertical="center" wrapText="1"/>
    </xf>
    <xf numFmtId="0" fontId="8" fillId="0" borderId="0" xfId="0" applyFont="1" applyFill="1" applyBorder="1" applyAlignment="1">
      <alignment horizontal="right" vertical="center" wrapText="1" readingOrder="2"/>
    </xf>
    <xf numFmtId="0" fontId="38" fillId="0" borderId="0" xfId="2" applyFont="1" applyFill="1" applyBorder="1" applyAlignment="1">
      <alignment horizontal="right" vertical="center" readingOrder="2"/>
    </xf>
    <xf numFmtId="0" fontId="4" fillId="6" borderId="9" xfId="3" applyFont="1" applyFill="1" applyBorder="1" applyAlignment="1">
      <alignment horizontal="center" vertical="center" wrapText="1"/>
    </xf>
    <xf numFmtId="1" fontId="17" fillId="0" borderId="3" xfId="2" applyNumberFormat="1" applyFont="1" applyFill="1" applyBorder="1" applyAlignment="1">
      <alignment vertical="center" wrapText="1"/>
    </xf>
    <xf numFmtId="1" fontId="19" fillId="0" borderId="0" xfId="2" applyNumberFormat="1"/>
    <xf numFmtId="1" fontId="17" fillId="0" borderId="2" xfId="2" applyNumberFormat="1" applyFont="1" applyFill="1" applyBorder="1" applyAlignment="1">
      <alignment horizontal="right" vertical="center"/>
    </xf>
    <xf numFmtId="168" fontId="17" fillId="0" borderId="2" xfId="2" applyNumberFormat="1" applyFont="1" applyFill="1" applyBorder="1" applyAlignment="1">
      <alignment vertical="center" wrapText="1"/>
    </xf>
    <xf numFmtId="168" fontId="17" fillId="0" borderId="2" xfId="2" applyNumberFormat="1" applyFont="1" applyFill="1" applyBorder="1" applyAlignment="1">
      <alignment vertical="center"/>
    </xf>
    <xf numFmtId="0" fontId="8" fillId="3" borderId="0" xfId="0" applyFont="1" applyFill="1" applyBorder="1" applyAlignment="1">
      <alignment horizontal="right" vertical="center" wrapText="1"/>
    </xf>
    <xf numFmtId="0" fontId="8" fillId="0" borderId="0" xfId="0" applyFont="1" applyAlignment="1">
      <alignment horizontal="right" vertical="center" wrapText="1"/>
    </xf>
    <xf numFmtId="0" fontId="8" fillId="0" borderId="5" xfId="0" applyFont="1" applyBorder="1" applyAlignment="1">
      <alignment horizontal="right" vertical="center"/>
    </xf>
    <xf numFmtId="0" fontId="8" fillId="0" borderId="0" xfId="0" applyFont="1" applyBorder="1" applyAlignment="1">
      <alignment horizontal="right" vertical="center" readingOrder="2"/>
    </xf>
    <xf numFmtId="0" fontId="0" fillId="0" borderId="0" xfId="0" applyAlignment="1">
      <alignment horizontal="right" vertical="center"/>
    </xf>
    <xf numFmtId="0" fontId="1" fillId="0" borderId="0" xfId="0" applyFont="1" applyAlignment="1">
      <alignment horizontal="center" vertical="center"/>
    </xf>
    <xf numFmtId="2" fontId="1" fillId="0" borderId="0" xfId="0" applyNumberFormat="1" applyFont="1" applyAlignment="1">
      <alignment horizontal="center" vertical="center"/>
    </xf>
    <xf numFmtId="43" fontId="0" fillId="0" borderId="0" xfId="0" applyNumberFormat="1"/>
    <xf numFmtId="9" fontId="4" fillId="0" borderId="5" xfId="0" applyNumberFormat="1" applyFont="1" applyFill="1" applyBorder="1" applyAlignment="1">
      <alignment horizontal="center" vertical="center" wrapText="1"/>
    </xf>
    <xf numFmtId="0" fontId="7" fillId="0" borderId="5" xfId="0" applyFont="1" applyBorder="1" applyAlignment="1">
      <alignment horizontal="center" vertical="center" wrapText="1"/>
    </xf>
    <xf numFmtId="166" fontId="7" fillId="0" borderId="0" xfId="1" applyNumberFormat="1" applyFont="1" applyFill="1" applyBorder="1" applyAlignment="1">
      <alignment horizontal="right" vertical="center"/>
    </xf>
    <xf numFmtId="0" fontId="8" fillId="3" borderId="0" xfId="0" applyFont="1" applyFill="1" applyBorder="1" applyAlignment="1">
      <alignment horizontal="right" vertical="center" wrapText="1"/>
    </xf>
    <xf numFmtId="0" fontId="44" fillId="0" borderId="0" xfId="0" applyFont="1"/>
    <xf numFmtId="0" fontId="4" fillId="0" borderId="10" xfId="0" applyFont="1" applyFill="1" applyBorder="1" applyAlignment="1">
      <alignment vertical="center" wrapText="1"/>
    </xf>
    <xf numFmtId="0" fontId="4" fillId="0" borderId="2" xfId="0" applyFont="1" applyFill="1" applyBorder="1" applyAlignment="1">
      <alignment vertical="center" wrapText="1"/>
    </xf>
    <xf numFmtId="165" fontId="17" fillId="0" borderId="12" xfId="2" applyNumberFormat="1" applyFont="1" applyFill="1" applyBorder="1" applyAlignment="1">
      <alignment horizontal="right" vertical="center"/>
    </xf>
    <xf numFmtId="166" fontId="17" fillId="0" borderId="3" xfId="1" applyNumberFormat="1" applyFont="1" applyFill="1" applyBorder="1" applyAlignment="1">
      <alignment vertical="center" wrapText="1"/>
    </xf>
    <xf numFmtId="170" fontId="17" fillId="0" borderId="3" xfId="1" applyNumberFormat="1" applyFont="1" applyFill="1" applyBorder="1" applyAlignment="1">
      <alignment vertical="center" wrapText="1"/>
    </xf>
    <xf numFmtId="165" fontId="17" fillId="0" borderId="3" xfId="2" applyNumberFormat="1" applyFont="1" applyFill="1" applyBorder="1" applyAlignment="1">
      <alignment vertical="center" wrapText="1"/>
    </xf>
    <xf numFmtId="3" fontId="17" fillId="0" borderId="3" xfId="2" applyNumberFormat="1" applyFont="1" applyFill="1" applyBorder="1" applyAlignment="1">
      <alignment vertical="center" wrapText="1"/>
    </xf>
    <xf numFmtId="170" fontId="17" fillId="0" borderId="2" xfId="1" applyNumberFormat="1" applyFont="1" applyFill="1" applyBorder="1" applyAlignment="1">
      <alignment vertical="center" wrapText="1"/>
    </xf>
    <xf numFmtId="168" fontId="17" fillId="0" borderId="2" xfId="3" applyNumberFormat="1" applyFont="1" applyFill="1" applyBorder="1" applyAlignment="1">
      <alignment vertical="center" wrapText="1" readingOrder="2"/>
    </xf>
    <xf numFmtId="1" fontId="34" fillId="0" borderId="0" xfId="2" applyNumberFormat="1" applyFont="1" applyFill="1" applyBorder="1" applyAlignment="1">
      <alignment horizontal="center" vertical="center" wrapText="1"/>
    </xf>
    <xf numFmtId="1" fontId="19" fillId="0" borderId="0" xfId="2" applyNumberFormat="1" applyFill="1" applyBorder="1" applyAlignment="1"/>
    <xf numFmtId="1" fontId="19" fillId="0" borderId="0" xfId="2" applyNumberFormat="1" applyFill="1" applyBorder="1"/>
    <xf numFmtId="1" fontId="18" fillId="0" borderId="0" xfId="2" applyNumberFormat="1" applyFont="1" applyFill="1" applyBorder="1" applyAlignment="1">
      <alignment horizontal="center" vertical="center" wrapText="1"/>
    </xf>
    <xf numFmtId="165" fontId="17" fillId="0" borderId="5" xfId="2" applyNumberFormat="1" applyFont="1" applyBorder="1" applyAlignment="1">
      <alignment vertical="center" wrapText="1" readingOrder="2"/>
    </xf>
    <xf numFmtId="0" fontId="8" fillId="0" borderId="5" xfId="0" applyFont="1" applyFill="1" applyBorder="1" applyAlignment="1">
      <alignment horizontal="center" vertical="center"/>
    </xf>
    <xf numFmtId="0" fontId="21" fillId="0" borderId="0" xfId="2" applyFont="1"/>
    <xf numFmtId="165" fontId="17" fillId="0" borderId="0" xfId="2" applyNumberFormat="1" applyFont="1" applyFill="1" applyBorder="1" applyAlignment="1">
      <alignment horizontal="center" vertical="center"/>
    </xf>
    <xf numFmtId="165" fontId="19" fillId="0" borderId="0" xfId="2" applyNumberFormat="1" applyFill="1" applyBorder="1" applyAlignment="1"/>
    <xf numFmtId="165" fontId="17" fillId="0" borderId="12" xfId="3" applyNumberFormat="1" applyFont="1" applyFill="1" applyBorder="1" applyAlignment="1">
      <alignment vertical="center" wrapText="1"/>
    </xf>
    <xf numFmtId="0" fontId="19" fillId="0" borderId="0" xfId="2" applyFill="1" applyAlignment="1"/>
    <xf numFmtId="1" fontId="17" fillId="0" borderId="12" xfId="3" applyNumberFormat="1" applyFont="1" applyFill="1" applyBorder="1" applyAlignment="1">
      <alignment vertical="center" wrapText="1"/>
    </xf>
    <xf numFmtId="165" fontId="35" fillId="0" borderId="0" xfId="2" applyNumberFormat="1" applyFont="1" applyFill="1" applyBorder="1" applyAlignment="1">
      <alignment horizontal="center" vertical="center"/>
    </xf>
    <xf numFmtId="0" fontId="36" fillId="0" borderId="0" xfId="2" applyFont="1" applyFill="1" applyBorder="1"/>
    <xf numFmtId="165" fontId="36" fillId="0" borderId="0" xfId="2" applyNumberFormat="1" applyFont="1" applyFill="1" applyBorder="1" applyAlignment="1"/>
    <xf numFmtId="0" fontId="36" fillId="0" borderId="0" xfId="2" applyFont="1" applyFill="1" applyBorder="1" applyAlignment="1"/>
    <xf numFmtId="0" fontId="36" fillId="0" borderId="0" xfId="2" applyFont="1" applyFill="1" applyAlignment="1"/>
    <xf numFmtId="0" fontId="36" fillId="0" borderId="0" xfId="2" applyFont="1" applyFill="1"/>
    <xf numFmtId="3" fontId="0" fillId="0" borderId="0" xfId="0" applyNumberFormat="1" applyFill="1"/>
    <xf numFmtId="0" fontId="39" fillId="0" borderId="0" xfId="2" applyFont="1" applyFill="1"/>
    <xf numFmtId="166" fontId="26" fillId="0" borderId="0" xfId="1" applyNumberFormat="1" applyFont="1" applyFill="1" applyBorder="1" applyAlignment="1">
      <alignment horizontal="center"/>
    </xf>
    <xf numFmtId="166" fontId="19" fillId="0" borderId="0" xfId="2" applyNumberFormat="1" applyFill="1" applyAlignment="1">
      <alignment horizontal="center"/>
    </xf>
    <xf numFmtId="1" fontId="19" fillId="0" borderId="0" xfId="3" applyNumberFormat="1" applyFill="1" applyAlignment="1">
      <alignment horizontal="center"/>
    </xf>
    <xf numFmtId="0" fontId="36" fillId="0" borderId="2" xfId="2" applyFont="1" applyFill="1" applyBorder="1"/>
    <xf numFmtId="3" fontId="17" fillId="0" borderId="12" xfId="2" applyNumberFormat="1" applyFont="1" applyFill="1" applyBorder="1" applyAlignment="1">
      <alignment vertical="center"/>
    </xf>
    <xf numFmtId="166" fontId="19" fillId="0" borderId="2" xfId="2" applyNumberFormat="1" applyFill="1" applyBorder="1" applyAlignment="1">
      <alignment horizontal="center"/>
    </xf>
    <xf numFmtId="0" fontId="26" fillId="0" borderId="0" xfId="2" applyFont="1" applyFill="1"/>
    <xf numFmtId="0" fontId="37" fillId="0" borderId="0" xfId="2" applyFont="1" applyFill="1" applyBorder="1" applyAlignment="1"/>
    <xf numFmtId="0" fontId="37" fillId="0" borderId="0" xfId="2" applyFont="1" applyFill="1" applyAlignment="1"/>
    <xf numFmtId="0" fontId="37" fillId="0" borderId="0" xfId="2" applyFont="1" applyFill="1"/>
    <xf numFmtId="1" fontId="19" fillId="0" borderId="0" xfId="2" applyNumberFormat="1" applyFill="1" applyAlignment="1">
      <alignment horizontal="center"/>
    </xf>
    <xf numFmtId="0" fontId="15" fillId="0" borderId="12" xfId="2" applyFont="1" applyFill="1" applyBorder="1" applyAlignment="1">
      <alignment horizontal="right" vertical="center" wrapText="1"/>
    </xf>
    <xf numFmtId="0" fontId="26" fillId="0" borderId="0" xfId="2" applyFont="1" applyFill="1" applyBorder="1" applyAlignment="1"/>
    <xf numFmtId="0" fontId="26" fillId="0" borderId="0" xfId="2" applyFont="1" applyFill="1" applyAlignment="1"/>
    <xf numFmtId="3" fontId="17" fillId="0" borderId="12" xfId="2" applyNumberFormat="1" applyFont="1" applyFill="1" applyBorder="1" applyAlignment="1">
      <alignment vertical="center" wrapText="1"/>
    </xf>
    <xf numFmtId="165" fontId="19" fillId="0" borderId="0" xfId="2" applyNumberFormat="1" applyFill="1" applyAlignment="1"/>
    <xf numFmtId="165" fontId="36" fillId="0" borderId="0" xfId="2" applyNumberFormat="1" applyFont="1" applyFill="1" applyAlignment="1"/>
    <xf numFmtId="1" fontId="26" fillId="0" borderId="0" xfId="2" applyNumberFormat="1" applyFont="1" applyFill="1" applyBorder="1"/>
    <xf numFmtId="0" fontId="26" fillId="0" borderId="0" xfId="2" applyFont="1" applyFill="1" applyBorder="1"/>
    <xf numFmtId="1" fontId="19" fillId="0" borderId="2" xfId="2" applyNumberFormat="1" applyFill="1" applyBorder="1" applyAlignment="1">
      <alignment horizontal="center"/>
    </xf>
    <xf numFmtId="1" fontId="20" fillId="0" borderId="0" xfId="2" applyNumberFormat="1" applyFont="1" applyFill="1" applyBorder="1" applyAlignment="1">
      <alignment horizontal="right" vertical="center" readingOrder="2"/>
    </xf>
    <xf numFmtId="0" fontId="15" fillId="0" borderId="0" xfId="2" applyFont="1" applyFill="1" applyBorder="1" applyAlignment="1">
      <alignment horizontal="right" vertical="center"/>
    </xf>
    <xf numFmtId="0" fontId="17" fillId="0" borderId="3" xfId="3" applyFont="1" applyFill="1" applyBorder="1" applyAlignment="1">
      <alignment vertical="center" wrapText="1"/>
    </xf>
    <xf numFmtId="164" fontId="19" fillId="0" borderId="2" xfId="2" applyNumberFormat="1" applyFill="1" applyBorder="1" applyAlignment="1">
      <alignment horizontal="center" vertical="center"/>
    </xf>
    <xf numFmtId="1" fontId="17" fillId="0" borderId="0" xfId="3" applyNumberFormat="1" applyFont="1" applyFill="1" applyBorder="1" applyAlignment="1">
      <alignment vertical="center" wrapText="1"/>
    </xf>
    <xf numFmtId="3" fontId="17" fillId="0" borderId="11" xfId="3" applyNumberFormat="1" applyFont="1" applyFill="1" applyBorder="1" applyAlignment="1">
      <alignment vertical="center" wrapText="1"/>
    </xf>
    <xf numFmtId="0" fontId="0" fillId="0" borderId="11" xfId="0" applyFill="1" applyBorder="1"/>
    <xf numFmtId="3" fontId="17" fillId="0" borderId="3" xfId="3" applyNumberFormat="1" applyFont="1" applyFill="1" applyBorder="1" applyAlignment="1">
      <alignment vertical="center" wrapText="1" readingOrder="2"/>
    </xf>
    <xf numFmtId="168" fontId="17" fillId="0" borderId="3" xfId="3" applyNumberFormat="1" applyFont="1" applyFill="1" applyBorder="1" applyAlignment="1">
      <alignment vertical="center" wrapText="1"/>
    </xf>
    <xf numFmtId="0" fontId="35" fillId="0" borderId="3" xfId="2" applyFont="1" applyFill="1" applyBorder="1" applyAlignment="1">
      <alignment horizontal="right" vertical="center" wrapText="1"/>
    </xf>
    <xf numFmtId="165" fontId="17" fillId="0" borderId="11" xfId="2" applyNumberFormat="1" applyFont="1" applyFill="1" applyBorder="1" applyAlignment="1">
      <alignment horizontal="right" vertical="center"/>
    </xf>
    <xf numFmtId="0" fontId="17" fillId="0" borderId="3" xfId="2" applyFont="1" applyFill="1" applyBorder="1" applyAlignment="1">
      <alignment horizontal="right" vertical="center" wrapText="1"/>
    </xf>
    <xf numFmtId="169" fontId="19" fillId="0" borderId="2" xfId="2" applyNumberFormat="1" applyFill="1" applyBorder="1" applyAlignment="1">
      <alignment horizontal="center"/>
    </xf>
    <xf numFmtId="0" fontId="19" fillId="0" borderId="3" xfId="2" applyFill="1" applyBorder="1"/>
    <xf numFmtId="168" fontId="17" fillId="0" borderId="3" xfId="2" applyNumberFormat="1" applyFont="1" applyFill="1" applyBorder="1" applyAlignment="1">
      <alignment vertical="center" wrapText="1"/>
    </xf>
    <xf numFmtId="0" fontId="40" fillId="0" borderId="9" xfId="0" applyFont="1" applyFill="1" applyBorder="1" applyAlignment="1">
      <alignment horizontal="right" readingOrder="2"/>
    </xf>
    <xf numFmtId="0" fontId="40" fillId="0" borderId="0" xfId="0" applyFont="1" applyFill="1" applyBorder="1" applyAlignment="1">
      <alignment horizontal="right" readingOrder="2"/>
    </xf>
    <xf numFmtId="0" fontId="43" fillId="0" borderId="9" xfId="0" applyFont="1" applyFill="1" applyBorder="1" applyAlignment="1">
      <alignment horizontal="right" vertical="center" readingOrder="2"/>
    </xf>
    <xf numFmtId="0" fontId="43" fillId="0" borderId="9" xfId="0" applyFont="1" applyFill="1" applyBorder="1" applyAlignment="1">
      <alignment horizontal="right" readingOrder="2"/>
    </xf>
    <xf numFmtId="0" fontId="12" fillId="0" borderId="0" xfId="0" applyFont="1" applyFill="1" applyBorder="1" applyAlignment="1">
      <alignment horizontal="center" vertical="center" wrapText="1"/>
    </xf>
    <xf numFmtId="0" fontId="4" fillId="0" borderId="0" xfId="0" applyFont="1" applyFill="1" applyBorder="1" applyAlignment="1">
      <alignment horizontal="right"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0" borderId="0" xfId="0" applyFont="1" applyFill="1" applyBorder="1" applyAlignment="1">
      <alignment horizontal="justify" vertical="center" wrapText="1"/>
    </xf>
    <xf numFmtId="0" fontId="5" fillId="0" borderId="0" xfId="0" applyFont="1" applyFill="1" applyBorder="1" applyAlignment="1">
      <alignment horizontal="right" vertical="center" wrapText="1"/>
    </xf>
    <xf numFmtId="0" fontId="8" fillId="0" borderId="9" xfId="0" applyFont="1" applyBorder="1" applyAlignment="1">
      <alignment horizontal="right" vertical="center" readingOrder="2"/>
    </xf>
    <xf numFmtId="0" fontId="8" fillId="0" borderId="9" xfId="0" applyFont="1" applyFill="1" applyBorder="1" applyAlignment="1">
      <alignment horizontal="right" vertical="center" readingOrder="2"/>
    </xf>
    <xf numFmtId="0" fontId="8" fillId="0" borderId="5" xfId="0" applyFont="1" applyBorder="1" applyAlignment="1">
      <alignment vertical="center"/>
    </xf>
    <xf numFmtId="0" fontId="4" fillId="6" borderId="9" xfId="0" applyFont="1" applyFill="1" applyBorder="1" applyAlignment="1">
      <alignment horizontal="right" vertical="center" wrapText="1"/>
    </xf>
    <xf numFmtId="0" fontId="4" fillId="6" borderId="9" xfId="0" applyFont="1" applyFill="1" applyBorder="1" applyAlignment="1">
      <alignment horizontal="center" vertical="center" wrapText="1"/>
    </xf>
    <xf numFmtId="0" fontId="8" fillId="5" borderId="0" xfId="0" applyFont="1" applyFill="1" applyBorder="1" applyAlignment="1">
      <alignment horizontal="right" vertical="center" wrapText="1"/>
    </xf>
    <xf numFmtId="0" fontId="15" fillId="0" borderId="2" xfId="2" applyFont="1" applyFill="1" applyBorder="1" applyAlignment="1">
      <alignment horizontal="right" vertical="center"/>
    </xf>
    <xf numFmtId="0" fontId="8" fillId="7" borderId="13" xfId="0" applyFont="1" applyFill="1" applyBorder="1" applyAlignment="1">
      <alignment horizontal="center" vertical="center" wrapText="1"/>
    </xf>
    <xf numFmtId="1" fontId="7" fillId="0" borderId="12" xfId="0" applyNumberFormat="1" applyFont="1" applyBorder="1" applyAlignment="1">
      <alignment horizontal="center" vertical="center" wrapText="1"/>
    </xf>
    <xf numFmtId="1" fontId="0" fillId="0" borderId="0" xfId="0" applyNumberFormat="1" applyAlignment="1">
      <alignment horizontal="center" vertical="center"/>
    </xf>
    <xf numFmtId="3" fontId="0" fillId="0" borderId="0" xfId="0" applyNumberFormat="1" applyAlignment="1">
      <alignment horizontal="center" vertical="center"/>
    </xf>
    <xf numFmtId="0" fontId="45" fillId="0" borderId="0" xfId="0" applyFont="1"/>
    <xf numFmtId="0" fontId="45" fillId="0" borderId="0" xfId="0" applyFont="1" applyAlignment="1">
      <alignment horizontal="center" vertical="top"/>
    </xf>
    <xf numFmtId="0" fontId="2" fillId="0" borderId="0" xfId="0" applyFont="1" applyAlignment="1">
      <alignment horizontal="center"/>
    </xf>
    <xf numFmtId="0" fontId="1" fillId="0" borderId="5" xfId="0" applyFont="1" applyBorder="1" applyAlignment="1">
      <alignment vertical="center"/>
    </xf>
    <xf numFmtId="0" fontId="7" fillId="7" borderId="6" xfId="0" applyFont="1" applyFill="1" applyBorder="1" applyAlignment="1">
      <alignment horizontal="right" vertical="center"/>
    </xf>
    <xf numFmtId="2" fontId="7" fillId="3" borderId="6" xfId="0" applyNumberFormat="1" applyFont="1" applyFill="1" applyBorder="1" applyAlignment="1">
      <alignment horizontal="right" vertical="center"/>
    </xf>
    <xf numFmtId="3" fontId="19" fillId="0" borderId="0" xfId="3" applyNumberFormat="1" applyFill="1" applyBorder="1"/>
    <xf numFmtId="0" fontId="19" fillId="0" borderId="0" xfId="3" applyFill="1"/>
    <xf numFmtId="3" fontId="19" fillId="0" borderId="0" xfId="3" applyNumberFormat="1" applyFill="1"/>
    <xf numFmtId="0" fontId="19" fillId="0" borderId="0" xfId="3" applyFill="1" applyAlignment="1">
      <alignment horizontal="center"/>
    </xf>
    <xf numFmtId="0" fontId="12" fillId="0" borderId="0" xfId="0" applyFont="1" applyFill="1" applyAlignment="1">
      <alignment horizontal="right" vertical="center" wrapText="1"/>
    </xf>
    <xf numFmtId="0" fontId="12" fillId="0" borderId="0" xfId="0" applyFont="1" applyBorder="1" applyAlignment="1">
      <alignment horizontal="center" vertical="center" wrapText="1" readingOrder="2"/>
    </xf>
    <xf numFmtId="0" fontId="8" fillId="0" borderId="0" xfId="0" applyFont="1" applyFill="1" applyBorder="1" applyAlignment="1">
      <alignment horizontal="right" vertical="center" wrapText="1" readingOrder="2"/>
    </xf>
    <xf numFmtId="0" fontId="8" fillId="0" borderId="0" xfId="0" applyFont="1" applyBorder="1" applyAlignment="1">
      <alignment horizontal="right" vertical="center" readingOrder="2"/>
    </xf>
    <xf numFmtId="0" fontId="8" fillId="0" borderId="5" xfId="0" applyFont="1" applyBorder="1" applyAlignment="1">
      <alignment vertical="center"/>
    </xf>
    <xf numFmtId="0" fontId="4" fillId="6" borderId="9" xfId="0" applyFont="1" applyFill="1" applyBorder="1" applyAlignment="1">
      <alignment horizontal="right" vertical="center" wrapText="1"/>
    </xf>
    <xf numFmtId="0" fontId="12" fillId="0" borderId="0" xfId="0" applyFont="1" applyFill="1" applyBorder="1" applyAlignment="1">
      <alignment horizontal="right" vertical="center" wrapText="1"/>
    </xf>
    <xf numFmtId="0" fontId="4" fillId="6" borderId="9" xfId="0" applyFont="1" applyFill="1" applyBorder="1" applyAlignment="1">
      <alignment horizontal="center" vertical="center" wrapText="1"/>
    </xf>
    <xf numFmtId="0" fontId="4" fillId="6" borderId="7" xfId="0" applyFont="1" applyFill="1" applyBorder="1" applyAlignment="1">
      <alignment horizontal="right" vertical="center" wrapText="1"/>
    </xf>
    <xf numFmtId="0" fontId="8" fillId="0" borderId="0" xfId="0" applyFont="1" applyFill="1" applyBorder="1" applyAlignment="1">
      <alignment horizontal="right" vertical="center" wrapText="1"/>
    </xf>
    <xf numFmtId="0" fontId="5" fillId="0" borderId="11" xfId="0" applyFont="1" applyFill="1" applyBorder="1" applyAlignment="1">
      <alignment vertical="center" wrapText="1"/>
    </xf>
    <xf numFmtId="43" fontId="7" fillId="0" borderId="3" xfId="1" applyNumberFormat="1" applyFont="1" applyFill="1" applyBorder="1" applyAlignment="1">
      <alignment horizontal="left" vertical="center" wrapText="1"/>
    </xf>
    <xf numFmtId="167" fontId="7" fillId="0" borderId="3" xfId="1" applyNumberFormat="1" applyFont="1" applyFill="1" applyBorder="1" applyAlignment="1">
      <alignment horizontal="left" vertical="center" wrapText="1"/>
    </xf>
    <xf numFmtId="4" fontId="7" fillId="0" borderId="3" xfId="0" applyNumberFormat="1" applyFont="1" applyFill="1" applyBorder="1" applyAlignment="1">
      <alignment vertical="center" wrapText="1"/>
    </xf>
    <xf numFmtId="0" fontId="8" fillId="0" borderId="0" xfId="0" applyFont="1" applyBorder="1" applyAlignment="1">
      <alignment horizontal="right" vertical="center" wrapText="1"/>
    </xf>
    <xf numFmtId="0" fontId="4" fillId="6" borderId="9" xfId="0" applyFont="1" applyFill="1" applyBorder="1" applyAlignment="1">
      <alignment horizontal="right" vertical="center" wrapText="1"/>
    </xf>
    <xf numFmtId="0" fontId="4" fillId="6" borderId="7" xfId="0" applyFont="1" applyFill="1" applyBorder="1" applyAlignment="1">
      <alignment horizontal="right" vertical="center" wrapText="1"/>
    </xf>
    <xf numFmtId="3" fontId="7" fillId="7" borderId="8" xfId="0" applyNumberFormat="1" applyFont="1" applyFill="1" applyBorder="1" applyAlignment="1">
      <alignment vertical="center" wrapText="1"/>
    </xf>
    <xf numFmtId="167" fontId="17" fillId="0" borderId="12" xfId="3" applyNumberFormat="1" applyFont="1" applyFill="1" applyBorder="1" applyAlignment="1">
      <alignment vertical="center" wrapText="1"/>
    </xf>
    <xf numFmtId="167" fontId="17" fillId="7" borderId="6" xfId="3" applyNumberFormat="1" applyFont="1" applyFill="1" applyBorder="1" applyAlignment="1">
      <alignment vertical="center" wrapText="1"/>
    </xf>
    <xf numFmtId="0" fontId="11" fillId="0" borderId="0" xfId="0" applyFont="1" applyBorder="1" applyAlignment="1">
      <alignment horizontal="center" vertical="center" readingOrder="2"/>
    </xf>
    <xf numFmtId="1" fontId="0" fillId="0" borderId="0" xfId="0" applyNumberFormat="1" applyBorder="1"/>
    <xf numFmtId="0" fontId="8" fillId="0" borderId="0" xfId="0" applyFont="1" applyFill="1" applyBorder="1" applyAlignment="1">
      <alignment horizontal="right" vertical="center" readingOrder="2"/>
    </xf>
    <xf numFmtId="0" fontId="4" fillId="6" borderId="9" xfId="0" applyFont="1" applyFill="1" applyBorder="1" applyAlignment="1">
      <alignment horizontal="center" vertical="center" wrapText="1"/>
    </xf>
    <xf numFmtId="0" fontId="12" fillId="0" borderId="0" xfId="0" applyFont="1" applyAlignment="1">
      <alignment horizontal="center" vertical="center" wrapText="1"/>
    </xf>
    <xf numFmtId="0" fontId="9" fillId="0" borderId="0" xfId="0" applyFont="1" applyBorder="1" applyAlignment="1">
      <alignment horizontal="right" vertical="center" wrapText="1" readingOrder="2"/>
    </xf>
    <xf numFmtId="0" fontId="8" fillId="0" borderId="5" xfId="0" applyFont="1" applyBorder="1" applyAlignment="1">
      <alignment vertical="center"/>
    </xf>
    <xf numFmtId="0" fontId="4" fillId="6" borderId="9" xfId="0" applyFont="1" applyFill="1" applyBorder="1" applyAlignment="1">
      <alignment horizontal="right" vertical="center" wrapText="1"/>
    </xf>
    <xf numFmtId="0" fontId="4" fillId="6" borderId="7" xfId="0" applyFont="1" applyFill="1" applyBorder="1" applyAlignment="1">
      <alignment horizontal="right" vertical="center" wrapText="1"/>
    </xf>
    <xf numFmtId="0" fontId="8" fillId="3" borderId="0" xfId="0" applyFont="1" applyFill="1" applyBorder="1" applyAlignment="1">
      <alignment horizontal="right" vertical="center" wrapText="1"/>
    </xf>
    <xf numFmtId="0" fontId="8" fillId="0" borderId="0" xfId="0" applyFont="1" applyFill="1" applyBorder="1" applyAlignment="1">
      <alignment horizontal="right" vertical="center" wrapText="1"/>
    </xf>
    <xf numFmtId="0" fontId="12" fillId="0" borderId="8" xfId="0" applyFont="1" applyBorder="1" applyAlignment="1">
      <alignment vertical="center" wrapText="1"/>
    </xf>
    <xf numFmtId="0" fontId="8" fillId="0" borderId="7" xfId="0" applyFont="1" applyFill="1" applyBorder="1" applyAlignment="1">
      <alignment horizontal="right" vertical="center" wrapText="1"/>
    </xf>
    <xf numFmtId="166" fontId="7" fillId="0" borderId="12" xfId="1" applyNumberFormat="1" applyFont="1" applyBorder="1" applyAlignment="1">
      <alignment horizontal="right" vertical="center" wrapText="1"/>
    </xf>
    <xf numFmtId="166" fontId="7" fillId="0" borderId="2" xfId="1" applyNumberFormat="1" applyFont="1" applyBorder="1" applyAlignment="1">
      <alignment horizontal="right" vertical="center" wrapText="1"/>
    </xf>
    <xf numFmtId="166" fontId="17" fillId="7" borderId="15" xfId="1" applyNumberFormat="1" applyFont="1" applyFill="1" applyBorder="1" applyAlignment="1">
      <alignment horizontal="right" vertical="center"/>
    </xf>
    <xf numFmtId="0" fontId="8" fillId="5" borderId="0" xfId="0" applyFont="1" applyFill="1" applyBorder="1" applyAlignment="1">
      <alignment horizontal="right" vertical="center" wrapText="1" readingOrder="2"/>
    </xf>
    <xf numFmtId="0" fontId="12" fillId="5" borderId="0" xfId="0" applyFont="1" applyFill="1" applyBorder="1" applyAlignment="1">
      <alignment horizontal="right"/>
    </xf>
    <xf numFmtId="0" fontId="15" fillId="0" borderId="2" xfId="2" applyFont="1" applyFill="1" applyBorder="1" applyAlignment="1">
      <alignment horizontal="right" vertical="center" wrapText="1"/>
    </xf>
    <xf numFmtId="0" fontId="15" fillId="0" borderId="2" xfId="2" applyFont="1" applyFill="1" applyBorder="1" applyAlignment="1">
      <alignment horizontal="right" vertical="center" wrapText="1"/>
    </xf>
    <xf numFmtId="0" fontId="34" fillId="0" borderId="0" xfId="0" applyFont="1" applyFill="1" applyAlignment="1">
      <alignment horizontal="center"/>
    </xf>
    <xf numFmtId="165" fontId="17" fillId="0" borderId="12" xfId="2" applyNumberFormat="1" applyFont="1" applyFill="1" applyBorder="1" applyAlignment="1">
      <alignment vertical="center" wrapText="1"/>
    </xf>
    <xf numFmtId="0" fontId="35" fillId="0" borderId="2" xfId="2" applyFont="1" applyFill="1" applyBorder="1" applyAlignment="1">
      <alignment horizontal="right" vertical="center" wrapText="1"/>
    </xf>
    <xf numFmtId="165" fontId="17" fillId="0" borderId="2" xfId="2" applyNumberFormat="1" applyFont="1" applyFill="1" applyBorder="1" applyAlignment="1">
      <alignment horizontal="right" vertical="center"/>
    </xf>
    <xf numFmtId="0" fontId="0" fillId="0" borderId="2" xfId="0" applyFill="1" applyBorder="1"/>
    <xf numFmtId="0" fontId="17" fillId="0" borderId="2" xfId="2" applyFont="1" applyFill="1" applyBorder="1" applyAlignment="1">
      <alignment horizontal="right" vertical="center" wrapText="1"/>
    </xf>
    <xf numFmtId="3" fontId="17" fillId="0" borderId="2" xfId="2" applyNumberFormat="1" applyFont="1" applyFill="1" applyBorder="1" applyAlignment="1">
      <alignment horizontal="right" vertical="center"/>
    </xf>
    <xf numFmtId="0" fontId="15" fillId="0" borderId="18" xfId="2" applyFont="1" applyFill="1" applyBorder="1" applyAlignment="1">
      <alignment horizontal="center" vertical="center" wrapText="1"/>
    </xf>
    <xf numFmtId="1" fontId="19" fillId="0" borderId="18" xfId="3" applyNumberFormat="1" applyBorder="1" applyAlignment="1">
      <alignment horizontal="center"/>
    </xf>
    <xf numFmtId="0" fontId="19" fillId="0" borderId="18" xfId="3" applyBorder="1" applyAlignment="1">
      <alignment horizontal="center"/>
    </xf>
    <xf numFmtId="168" fontId="17" fillId="0" borderId="2" xfId="2" applyNumberFormat="1" applyFont="1" applyFill="1" applyBorder="1" applyAlignment="1">
      <alignment horizontal="right" vertical="center"/>
    </xf>
    <xf numFmtId="2" fontId="7" fillId="0" borderId="2" xfId="1" applyNumberFormat="1" applyFont="1" applyFill="1" applyBorder="1" applyAlignment="1">
      <alignment horizontal="left" vertical="center" wrapText="1"/>
    </xf>
    <xf numFmtId="2" fontId="7" fillId="0" borderId="3" xfId="1" applyNumberFormat="1" applyFont="1" applyFill="1" applyBorder="1" applyAlignment="1">
      <alignment horizontal="left" vertical="center" wrapText="1"/>
    </xf>
    <xf numFmtId="2" fontId="7" fillId="0" borderId="11" xfId="0" applyNumberFormat="1" applyFont="1" applyFill="1" applyBorder="1" applyAlignment="1">
      <alignment horizontal="left" vertical="center" wrapText="1"/>
    </xf>
    <xf numFmtId="1" fontId="7" fillId="0" borderId="2" xfId="1" applyNumberFormat="1" applyFont="1" applyFill="1" applyBorder="1" applyAlignment="1">
      <alignment horizontal="left" vertical="center" wrapText="1"/>
    </xf>
    <xf numFmtId="1" fontId="7" fillId="0" borderId="3" xfId="1" applyNumberFormat="1" applyFont="1" applyFill="1" applyBorder="1" applyAlignment="1">
      <alignment horizontal="left" vertical="center" wrapText="1"/>
    </xf>
    <xf numFmtId="1" fontId="7" fillId="0" borderId="11" xfId="0" applyNumberFormat="1" applyFont="1" applyFill="1" applyBorder="1" applyAlignment="1">
      <alignment horizontal="left" vertical="center" wrapText="1"/>
    </xf>
    <xf numFmtId="0" fontId="15" fillId="0" borderId="2" xfId="2" applyFont="1" applyFill="1" applyBorder="1" applyAlignment="1">
      <alignment horizontal="right" vertical="center" wrapText="1"/>
    </xf>
    <xf numFmtId="1" fontId="7" fillId="0" borderId="10" xfId="1" applyNumberFormat="1" applyFont="1" applyFill="1" applyBorder="1" applyAlignment="1">
      <alignment horizontal="left" vertical="center" wrapText="1"/>
    </xf>
    <xf numFmtId="166" fontId="7" fillId="0" borderId="11" xfId="0" applyNumberFormat="1" applyFont="1" applyFill="1" applyBorder="1" applyAlignment="1">
      <alignment vertical="center" wrapText="1"/>
    </xf>
    <xf numFmtId="3" fontId="7" fillId="0" borderId="2" xfId="2" applyNumberFormat="1" applyFont="1" applyFill="1" applyBorder="1" applyAlignment="1">
      <alignment vertical="center"/>
    </xf>
    <xf numFmtId="1" fontId="7" fillId="0" borderId="2" xfId="2" applyNumberFormat="1" applyFont="1" applyFill="1" applyBorder="1" applyAlignment="1">
      <alignment horizontal="right" vertical="center"/>
    </xf>
    <xf numFmtId="4" fontId="17" fillId="0" borderId="2" xfId="2" applyNumberFormat="1" applyFont="1" applyFill="1" applyBorder="1" applyAlignment="1">
      <alignment vertical="center" wrapText="1"/>
    </xf>
    <xf numFmtId="0" fontId="15" fillId="0" borderId="2" xfId="2" applyFont="1" applyFill="1" applyBorder="1" applyAlignment="1">
      <alignment horizontal="right" vertical="center" wrapText="1"/>
    </xf>
    <xf numFmtId="0" fontId="15" fillId="0" borderId="2" xfId="2" applyFont="1" applyFill="1" applyBorder="1" applyAlignment="1">
      <alignment horizontal="right" vertical="center" wrapText="1"/>
    </xf>
    <xf numFmtId="3" fontId="17" fillId="0" borderId="12" xfId="2" applyNumberFormat="1" applyFont="1" applyFill="1" applyBorder="1" applyAlignment="1">
      <alignment horizontal="right" vertical="center"/>
    </xf>
    <xf numFmtId="0" fontId="15" fillId="0" borderId="2" xfId="2" applyFont="1" applyFill="1" applyBorder="1" applyAlignment="1">
      <alignment horizontal="right" vertical="center" wrapText="1"/>
    </xf>
    <xf numFmtId="0" fontId="15" fillId="0" borderId="2" xfId="2" applyFont="1" applyFill="1" applyBorder="1" applyAlignment="1">
      <alignment horizontal="right" vertical="center" wrapText="1"/>
    </xf>
    <xf numFmtId="0" fontId="15" fillId="0" borderId="2" xfId="2" applyFont="1" applyFill="1" applyBorder="1" applyAlignment="1">
      <alignment horizontal="right" vertical="center" wrapText="1"/>
    </xf>
    <xf numFmtId="0" fontId="15" fillId="0" borderId="2" xfId="2" applyFont="1" applyFill="1" applyBorder="1" applyAlignment="1">
      <alignment horizontal="right" vertical="center" wrapText="1"/>
    </xf>
    <xf numFmtId="0" fontId="17" fillId="0" borderId="12" xfId="3" applyFont="1" applyFill="1" applyBorder="1" applyAlignment="1">
      <alignment vertical="center" wrapText="1"/>
    </xf>
    <xf numFmtId="1" fontId="17" fillId="0" borderId="3" xfId="3" applyNumberFormat="1" applyFont="1" applyFill="1" applyBorder="1" applyAlignment="1">
      <alignment vertical="center" wrapText="1"/>
    </xf>
    <xf numFmtId="168" fontId="17" fillId="0" borderId="12" xfId="3" applyNumberFormat="1" applyFont="1" applyFill="1" applyBorder="1" applyAlignment="1">
      <alignment vertical="center" wrapText="1"/>
    </xf>
    <xf numFmtId="0" fontId="15" fillId="0" borderId="12" xfId="2" applyFont="1" applyFill="1" applyBorder="1" applyAlignment="1">
      <alignment vertical="center" wrapText="1"/>
    </xf>
    <xf numFmtId="165" fontId="17" fillId="0" borderId="10" xfId="2" applyNumberFormat="1" applyFont="1" applyFill="1" applyBorder="1" applyAlignment="1">
      <alignment horizontal="right" vertical="center"/>
    </xf>
    <xf numFmtId="3" fontId="17" fillId="0" borderId="10" xfId="3" applyNumberFormat="1" applyFont="1" applyFill="1" applyBorder="1" applyAlignment="1">
      <alignment vertical="center" wrapText="1"/>
    </xf>
    <xf numFmtId="0" fontId="0" fillId="0" borderId="10" xfId="0" applyFill="1" applyBorder="1"/>
    <xf numFmtId="0" fontId="15" fillId="0" borderId="2" xfId="2" applyFont="1" applyFill="1" applyBorder="1" applyAlignment="1">
      <alignment horizontal="right" vertical="center" wrapText="1"/>
    </xf>
    <xf numFmtId="0" fontId="15" fillId="0" borderId="2" xfId="2" applyFont="1" applyFill="1" applyBorder="1" applyAlignment="1">
      <alignment horizontal="right" vertical="center" wrapText="1"/>
    </xf>
    <xf numFmtId="0" fontId="15" fillId="0" borderId="2" xfId="2" applyFont="1" applyFill="1" applyBorder="1" applyAlignment="1">
      <alignment horizontal="right" vertical="center" wrapText="1"/>
    </xf>
    <xf numFmtId="0" fontId="15" fillId="0" borderId="2" xfId="2" applyFont="1" applyFill="1" applyBorder="1" applyAlignment="1">
      <alignment horizontal="right" vertical="center" wrapText="1"/>
    </xf>
    <xf numFmtId="4" fontId="7" fillId="0" borderId="6" xfId="0" applyNumberFormat="1" applyFont="1" applyBorder="1" applyAlignment="1">
      <alignment horizontal="right" vertical="center"/>
    </xf>
    <xf numFmtId="43" fontId="7" fillId="7" borderId="6" xfId="1" applyNumberFormat="1" applyFont="1" applyFill="1" applyBorder="1" applyAlignment="1">
      <alignment horizontal="right" vertical="center"/>
    </xf>
    <xf numFmtId="165" fontId="7" fillId="0" borderId="11" xfId="0" applyNumberFormat="1" applyFont="1" applyFill="1" applyBorder="1" applyAlignment="1">
      <alignment vertical="center" wrapText="1"/>
    </xf>
    <xf numFmtId="1" fontId="7" fillId="0" borderId="11" xfId="0" applyNumberFormat="1" applyFont="1" applyFill="1" applyBorder="1" applyAlignment="1">
      <alignment vertical="center" wrapText="1"/>
    </xf>
    <xf numFmtId="0" fontId="4" fillId="0" borderId="8" xfId="0" applyFont="1" applyBorder="1" applyAlignment="1">
      <alignment vertical="center" wrapText="1"/>
    </xf>
    <xf numFmtId="0" fontId="4" fillId="0" borderId="5" xfId="0" applyFont="1" applyBorder="1" applyAlignment="1">
      <alignment vertical="center" wrapText="1"/>
    </xf>
    <xf numFmtId="0" fontId="4" fillId="0" borderId="7" xfId="0" applyFont="1" applyBorder="1" applyAlignment="1">
      <alignment vertical="center" wrapText="1"/>
    </xf>
    <xf numFmtId="0" fontId="8" fillId="0" borderId="5" xfId="0" applyFont="1" applyBorder="1" applyAlignment="1">
      <alignment vertical="center"/>
    </xf>
    <xf numFmtId="0" fontId="8" fillId="0" borderId="0" xfId="0" applyFont="1" applyFill="1" applyBorder="1" applyAlignment="1">
      <alignment horizontal="right" vertical="center" wrapText="1"/>
    </xf>
    <xf numFmtId="0" fontId="43" fillId="0" borderId="0" xfId="0" applyFont="1" applyBorder="1"/>
    <xf numFmtId="0" fontId="0" fillId="6" borderId="0" xfId="0" applyFill="1" applyBorder="1"/>
    <xf numFmtId="0" fontId="4" fillId="7" borderId="0" xfId="0" applyFont="1" applyFill="1" applyBorder="1" applyAlignment="1">
      <alignment horizontal="center" vertical="center" wrapText="1"/>
    </xf>
    <xf numFmtId="0" fontId="44" fillId="0" borderId="0" xfId="0" applyFont="1" applyBorder="1"/>
    <xf numFmtId="2" fontId="3" fillId="0" borderId="0" xfId="0" applyNumberFormat="1" applyFont="1" applyBorder="1" applyAlignment="1">
      <alignment horizontal="right" vertical="center" readingOrder="2"/>
    </xf>
    <xf numFmtId="0" fontId="3" fillId="0" borderId="0" xfId="0" applyFont="1" applyBorder="1" applyAlignment="1">
      <alignment vertical="center"/>
    </xf>
    <xf numFmtId="2" fontId="3" fillId="0" borderId="0" xfId="0" applyNumberFormat="1" applyFont="1" applyBorder="1" applyAlignment="1">
      <alignment vertical="center"/>
    </xf>
    <xf numFmtId="0" fontId="8" fillId="0" borderId="0" xfId="0" applyFont="1" applyFill="1" applyBorder="1" applyAlignment="1">
      <alignment horizontal="right" vertical="center" wrapText="1" readingOrder="2"/>
    </xf>
    <xf numFmtId="0" fontId="8" fillId="0" borderId="0" xfId="0" applyFont="1" applyFill="1" applyBorder="1" applyAlignment="1">
      <alignment horizontal="right" vertical="center" wrapText="1"/>
    </xf>
    <xf numFmtId="0" fontId="33" fillId="3" borderId="0" xfId="3" applyFont="1" applyFill="1" applyBorder="1" applyAlignment="1">
      <alignment horizontal="center" vertical="center" wrapText="1"/>
    </xf>
    <xf numFmtId="0" fontId="43" fillId="0" borderId="5" xfId="0" applyFont="1" applyBorder="1"/>
    <xf numFmtId="168" fontId="1" fillId="0" borderId="0" xfId="0" applyNumberFormat="1" applyFont="1" applyBorder="1"/>
    <xf numFmtId="168" fontId="1" fillId="0" borderId="5" xfId="0" applyNumberFormat="1" applyFont="1" applyBorder="1"/>
    <xf numFmtId="0" fontId="48" fillId="0" borderId="8" xfId="0" applyFont="1" applyBorder="1" applyAlignment="1">
      <alignment vertical="center" wrapText="1"/>
    </xf>
    <xf numFmtId="0" fontId="50" fillId="0" borderId="0" xfId="0" applyFont="1" applyFill="1"/>
    <xf numFmtId="0" fontId="0" fillId="0" borderId="0" xfId="0" applyFont="1" applyFill="1"/>
    <xf numFmtId="0" fontId="0" fillId="0" borderId="0" xfId="0" applyFont="1"/>
    <xf numFmtId="0" fontId="55" fillId="11" borderId="10" xfId="0" applyFont="1" applyFill="1" applyBorder="1" applyAlignment="1">
      <alignment horizontal="right" vertical="center" readingOrder="2"/>
    </xf>
    <xf numFmtId="0" fontId="55" fillId="11" borderId="2" xfId="0" applyFont="1" applyFill="1" applyBorder="1" applyAlignment="1">
      <alignment horizontal="right" vertical="center" readingOrder="2"/>
    </xf>
    <xf numFmtId="0" fontId="7" fillId="11" borderId="10" xfId="0" applyFont="1" applyFill="1" applyBorder="1" applyAlignment="1">
      <alignment horizontal="right" vertical="center" readingOrder="2"/>
    </xf>
    <xf numFmtId="0" fontId="7" fillId="11" borderId="2" xfId="0" applyFont="1" applyFill="1" applyBorder="1" applyAlignment="1">
      <alignment horizontal="right" vertical="center" readingOrder="2"/>
    </xf>
    <xf numFmtId="0" fontId="0" fillId="0" borderId="5" xfId="0" applyBorder="1"/>
    <xf numFmtId="0" fontId="43" fillId="0" borderId="0" xfId="0" applyFont="1" applyBorder="1" applyAlignment="1">
      <alignment vertical="center"/>
    </xf>
    <xf numFmtId="168" fontId="1" fillId="0" borderId="0" xfId="0" applyNumberFormat="1" applyFont="1" applyBorder="1" applyAlignment="1">
      <alignment vertical="center"/>
    </xf>
    <xf numFmtId="0" fontId="52" fillId="0" borderId="0" xfId="0" applyFont="1" applyAlignment="1">
      <alignment horizontal="center" vertical="center"/>
    </xf>
    <xf numFmtId="0" fontId="7" fillId="11" borderId="2" xfId="0" applyFont="1" applyFill="1" applyBorder="1" applyAlignment="1">
      <alignment horizontal="right" vertical="center" wrapText="1" readingOrder="2"/>
    </xf>
    <xf numFmtId="168" fontId="17" fillId="0" borderId="12" xfId="2" applyNumberFormat="1" applyFont="1" applyFill="1" applyBorder="1" applyAlignment="1">
      <alignment vertical="center" wrapText="1"/>
    </xf>
    <xf numFmtId="0" fontId="0" fillId="0" borderId="0" xfId="0" applyFill="1" applyBorder="1"/>
    <xf numFmtId="0" fontId="1" fillId="12" borderId="0" xfId="0" applyFont="1" applyFill="1" applyAlignment="1">
      <alignment horizontal="center" vertical="center"/>
    </xf>
    <xf numFmtId="3" fontId="17" fillId="0" borderId="0" xfId="3" applyNumberFormat="1" applyFont="1" applyBorder="1" applyAlignment="1">
      <alignment horizontal="right" vertical="center" wrapText="1"/>
    </xf>
    <xf numFmtId="0" fontId="54" fillId="0" borderId="5" xfId="0" applyFont="1" applyBorder="1" applyAlignment="1">
      <alignment horizontal="center" vertical="center"/>
    </xf>
    <xf numFmtId="0" fontId="49" fillId="0" borderId="5" xfId="0" applyFont="1" applyBorder="1" applyAlignment="1">
      <alignment horizontal="center" vertical="center"/>
    </xf>
    <xf numFmtId="0" fontId="15" fillId="0" borderId="10" xfId="2" applyFont="1" applyFill="1" applyBorder="1" applyAlignment="1">
      <alignment horizontal="right" vertical="center" wrapText="1"/>
    </xf>
    <xf numFmtId="0" fontId="8" fillId="0" borderId="0" xfId="0" applyFont="1" applyFill="1" applyBorder="1" applyAlignment="1">
      <alignment horizontal="right" vertical="center" wrapText="1" readingOrder="2"/>
    </xf>
    <xf numFmtId="0" fontId="4" fillId="6" borderId="9" xfId="2" applyFont="1" applyFill="1" applyBorder="1" applyAlignment="1">
      <alignment horizontal="center" vertical="center" wrapText="1" readingOrder="2"/>
    </xf>
    <xf numFmtId="0" fontId="8" fillId="0" borderId="0" xfId="0" applyFont="1" applyFill="1" applyBorder="1" applyAlignment="1">
      <alignment horizontal="right" vertical="center" wrapText="1"/>
    </xf>
    <xf numFmtId="0" fontId="18" fillId="0" borderId="0" xfId="2" applyFont="1" applyFill="1" applyBorder="1" applyAlignment="1">
      <alignment horizontal="center" vertical="center" wrapText="1"/>
    </xf>
    <xf numFmtId="0" fontId="15" fillId="0" borderId="0" xfId="2" applyFont="1" applyFill="1" applyBorder="1" applyAlignment="1">
      <alignment horizontal="right" vertical="center" wrapText="1" readingOrder="2"/>
    </xf>
    <xf numFmtId="0" fontId="38" fillId="0" borderId="0" xfId="2" applyFont="1" applyFill="1" applyBorder="1" applyAlignment="1">
      <alignment horizontal="right" vertical="center" readingOrder="2"/>
    </xf>
    <xf numFmtId="0" fontId="7" fillId="11" borderId="5" xfId="0" applyFont="1" applyFill="1" applyBorder="1" applyAlignment="1">
      <alignment horizontal="right" vertical="center" readingOrder="2"/>
    </xf>
    <xf numFmtId="0" fontId="55" fillId="11" borderId="3" xfId="0" applyFont="1" applyFill="1" applyBorder="1" applyAlignment="1">
      <alignment horizontal="right" vertical="center" readingOrder="2"/>
    </xf>
    <xf numFmtId="0" fontId="7" fillId="11" borderId="5" xfId="0" applyFont="1" applyFill="1" applyBorder="1" applyAlignment="1">
      <alignment horizontal="right" vertical="center" wrapText="1" readingOrder="2"/>
    </xf>
    <xf numFmtId="3" fontId="17" fillId="7" borderId="0" xfId="2" applyNumberFormat="1" applyFont="1" applyFill="1" applyBorder="1" applyAlignment="1">
      <alignment vertical="center" wrapText="1"/>
    </xf>
    <xf numFmtId="168" fontId="17" fillId="0" borderId="3" xfId="3" applyNumberFormat="1" applyFont="1" applyFill="1" applyBorder="1" applyAlignment="1">
      <alignment vertical="center" wrapText="1" readingOrder="2"/>
    </xf>
    <xf numFmtId="168" fontId="17" fillId="7" borderId="15" xfId="3" applyNumberFormat="1" applyFont="1" applyFill="1" applyBorder="1" applyAlignment="1">
      <alignment vertical="center" wrapText="1" readingOrder="2"/>
    </xf>
    <xf numFmtId="3" fontId="17" fillId="7" borderId="0" xfId="3" applyNumberFormat="1" applyFont="1" applyFill="1" applyBorder="1" applyAlignment="1">
      <alignment vertical="center" wrapText="1"/>
    </xf>
    <xf numFmtId="0" fontId="4" fillId="6" borderId="0" xfId="3" applyFont="1" applyFill="1" applyBorder="1" applyAlignment="1">
      <alignment horizontal="center" vertical="center" wrapText="1"/>
    </xf>
    <xf numFmtId="0" fontId="8" fillId="7" borderId="0" xfId="3" applyFont="1" applyFill="1" applyBorder="1" applyAlignment="1">
      <alignment horizontal="right" vertical="center"/>
    </xf>
    <xf numFmtId="1" fontId="17" fillId="7" borderId="0" xfId="2" applyNumberFormat="1" applyFont="1" applyFill="1" applyBorder="1" applyAlignment="1">
      <alignment vertical="center"/>
    </xf>
    <xf numFmtId="0" fontId="35" fillId="0" borderId="0" xfId="3" applyFont="1" applyBorder="1" applyAlignment="1">
      <alignment horizontal="center" vertical="center"/>
    </xf>
    <xf numFmtId="0" fontId="33" fillId="3" borderId="0" xfId="3" applyFont="1" applyFill="1" applyBorder="1" applyAlignment="1">
      <alignment vertical="center"/>
    </xf>
    <xf numFmtId="1" fontId="17" fillId="0" borderId="0" xfId="2" applyNumberFormat="1" applyFont="1" applyFill="1" applyBorder="1" applyAlignment="1">
      <alignment horizontal="right" vertical="center"/>
    </xf>
    <xf numFmtId="1" fontId="7" fillId="0" borderId="0" xfId="2" applyNumberFormat="1" applyFont="1" applyFill="1" applyBorder="1" applyAlignment="1">
      <alignment horizontal="right" vertical="center"/>
    </xf>
    <xf numFmtId="0" fontId="19" fillId="0" borderId="0" xfId="3" applyFill="1" applyBorder="1"/>
    <xf numFmtId="0" fontId="26" fillId="0" borderId="0" xfId="3" applyFont="1" applyAlignment="1">
      <alignment horizontal="center" vertical="center"/>
    </xf>
    <xf numFmtId="0" fontId="26" fillId="0" borderId="0" xfId="2" applyFont="1" applyAlignment="1">
      <alignment horizontal="center" vertical="center"/>
    </xf>
    <xf numFmtId="0" fontId="5" fillId="0" borderId="10" xfId="0" applyFont="1" applyFill="1" applyBorder="1" applyAlignment="1">
      <alignment horizontal="right" vertical="center" readingOrder="2"/>
    </xf>
    <xf numFmtId="0" fontId="5" fillId="0" borderId="2" xfId="0" applyFont="1" applyFill="1" applyBorder="1" applyAlignment="1">
      <alignment horizontal="right" vertical="center" readingOrder="2"/>
    </xf>
    <xf numFmtId="0" fontId="5" fillId="0" borderId="2" xfId="0" applyFont="1" applyFill="1" applyBorder="1" applyAlignment="1">
      <alignment vertical="center"/>
    </xf>
    <xf numFmtId="0" fontId="5" fillId="0" borderId="2" xfId="0" applyFont="1" applyFill="1" applyBorder="1" applyAlignment="1">
      <alignment horizontal="right" vertical="center"/>
    </xf>
    <xf numFmtId="0" fontId="5" fillId="0" borderId="3" xfId="0" applyFont="1" applyFill="1" applyBorder="1" applyAlignment="1">
      <alignment horizontal="right" vertical="center" readingOrder="2"/>
    </xf>
    <xf numFmtId="0" fontId="5" fillId="0" borderId="11" xfId="0" applyFont="1" applyFill="1" applyBorder="1" applyAlignment="1">
      <alignment vertical="center"/>
    </xf>
    <xf numFmtId="165" fontId="17" fillId="0" borderId="0" xfId="3" applyNumberFormat="1" applyFont="1" applyFill="1" applyBorder="1" applyAlignment="1">
      <alignment vertical="center" wrapText="1"/>
    </xf>
    <xf numFmtId="165" fontId="17" fillId="7" borderId="15" xfId="3" applyNumberFormat="1" applyFont="1" applyFill="1" applyBorder="1" applyAlignment="1">
      <alignment vertical="center" wrapText="1"/>
    </xf>
    <xf numFmtId="168" fontId="17" fillId="0" borderId="0" xfId="2" applyNumberFormat="1" applyFont="1" applyFill="1" applyBorder="1" applyAlignment="1">
      <alignment vertical="center" wrapText="1"/>
    </xf>
    <xf numFmtId="0" fontId="8" fillId="6" borderId="7" xfId="3" applyFont="1" applyFill="1" applyBorder="1" applyAlignment="1">
      <alignment horizontal="right" vertical="center"/>
    </xf>
    <xf numFmtId="0" fontId="0" fillId="6" borderId="7" xfId="0" applyFill="1" applyBorder="1"/>
    <xf numFmtId="3" fontId="17" fillId="0" borderId="0" xfId="3" applyNumberFormat="1" applyFont="1" applyFill="1" applyBorder="1" applyAlignment="1">
      <alignment vertical="center" wrapText="1"/>
    </xf>
    <xf numFmtId="168" fontId="17" fillId="0" borderId="10" xfId="3" applyNumberFormat="1" applyFont="1" applyFill="1" applyBorder="1" applyAlignment="1">
      <alignment vertical="center" wrapText="1"/>
    </xf>
    <xf numFmtId="3" fontId="17" fillId="0" borderId="10" xfId="2" applyNumberFormat="1" applyFont="1" applyFill="1" applyBorder="1" applyAlignment="1">
      <alignment vertical="center"/>
    </xf>
    <xf numFmtId="4" fontId="17" fillId="0" borderId="3" xfId="2" applyNumberFormat="1" applyFont="1" applyFill="1" applyBorder="1" applyAlignment="1">
      <alignment vertical="center" wrapText="1"/>
    </xf>
    <xf numFmtId="4" fontId="17" fillId="7" borderId="15" xfId="3" applyNumberFormat="1" applyFont="1" applyFill="1" applyBorder="1" applyAlignment="1">
      <alignment vertical="center" wrapText="1"/>
    </xf>
    <xf numFmtId="0" fontId="8" fillId="0" borderId="0" xfId="0" applyFont="1" applyFill="1" applyBorder="1" applyAlignment="1">
      <alignment horizontal="right" vertical="center" wrapText="1"/>
    </xf>
    <xf numFmtId="0" fontId="0" fillId="0" borderId="0" xfId="0" applyFill="1" applyAlignment="1">
      <alignment wrapText="1"/>
    </xf>
    <xf numFmtId="3" fontId="46" fillId="3" borderId="0" xfId="2" applyNumberFormat="1" applyFont="1" applyFill="1" applyBorder="1" applyAlignment="1">
      <alignment horizontal="left" vertical="center"/>
    </xf>
    <xf numFmtId="0" fontId="0" fillId="0" borderId="0" xfId="0" applyFill="1" applyAlignment="1">
      <alignment horizontal="center" vertical="center" wrapText="1"/>
    </xf>
    <xf numFmtId="166" fontId="17" fillId="0" borderId="0" xfId="1" applyNumberFormat="1" applyFont="1" applyFill="1" applyBorder="1" applyAlignment="1">
      <alignment horizontal="right" vertical="center"/>
    </xf>
    <xf numFmtId="43" fontId="17" fillId="0" borderId="0" xfId="1" applyNumberFormat="1" applyFont="1" applyFill="1" applyBorder="1" applyAlignment="1">
      <alignment horizontal="right" vertical="center"/>
    </xf>
    <xf numFmtId="0" fontId="12" fillId="0" borderId="8" xfId="0" applyFont="1" applyBorder="1" applyAlignment="1">
      <alignment horizontal="center" vertical="center" wrapText="1"/>
    </xf>
    <xf numFmtId="43" fontId="7" fillId="0" borderId="10" xfId="1" applyNumberFormat="1" applyFont="1" applyFill="1" applyBorder="1" applyAlignment="1">
      <alignment vertical="center"/>
    </xf>
    <xf numFmtId="43" fontId="7" fillId="0" borderId="2" xfId="1" applyNumberFormat="1" applyFont="1" applyFill="1" applyBorder="1" applyAlignment="1">
      <alignment vertical="center"/>
    </xf>
    <xf numFmtId="43" fontId="7" fillId="0" borderId="3" xfId="1" applyNumberFormat="1" applyFont="1" applyBorder="1" applyAlignment="1">
      <alignment vertical="center"/>
    </xf>
    <xf numFmtId="43" fontId="7" fillId="0" borderId="2" xfId="1" applyNumberFormat="1" applyFont="1" applyBorder="1" applyAlignment="1">
      <alignment vertical="center"/>
    </xf>
    <xf numFmtId="43" fontId="7" fillId="7" borderId="6" xfId="1" applyNumberFormat="1" applyFont="1" applyFill="1" applyBorder="1" applyAlignment="1">
      <alignment vertical="center"/>
    </xf>
    <xf numFmtId="0" fontId="15" fillId="0" borderId="2" xfId="2" applyFont="1" applyFill="1" applyBorder="1" applyAlignment="1">
      <alignment horizontal="right" vertical="center" wrapText="1"/>
    </xf>
    <xf numFmtId="0" fontId="15" fillId="0" borderId="10" xfId="2" applyFont="1" applyFill="1" applyBorder="1" applyAlignment="1">
      <alignment horizontal="right" vertical="center" wrapText="1"/>
    </xf>
    <xf numFmtId="12" fontId="17" fillId="0" borderId="10" xfId="1" applyNumberFormat="1" applyFont="1" applyFill="1" applyBorder="1" applyAlignment="1">
      <alignment vertical="center" wrapText="1"/>
    </xf>
    <xf numFmtId="166" fontId="17" fillId="0" borderId="10" xfId="1" applyNumberFormat="1" applyFont="1" applyFill="1" applyBorder="1" applyAlignment="1">
      <alignment vertical="center" wrapText="1" readingOrder="2"/>
    </xf>
    <xf numFmtId="170" fontId="17" fillId="0" borderId="10" xfId="1" applyNumberFormat="1" applyFont="1" applyFill="1" applyBorder="1" applyAlignment="1">
      <alignment vertical="center" wrapText="1"/>
    </xf>
    <xf numFmtId="165" fontId="17" fillId="0" borderId="10" xfId="2" applyNumberFormat="1" applyFont="1" applyFill="1" applyBorder="1" applyAlignment="1">
      <alignment vertical="center" wrapText="1"/>
    </xf>
    <xf numFmtId="3" fontId="17" fillId="0" borderId="10" xfId="2" applyNumberFormat="1" applyFont="1" applyFill="1" applyBorder="1" applyAlignment="1">
      <alignment vertical="center" wrapText="1"/>
    </xf>
    <xf numFmtId="168" fontId="17" fillId="0" borderId="10" xfId="2" applyNumberFormat="1" applyFont="1" applyFill="1" applyBorder="1" applyAlignment="1">
      <alignment vertical="center" wrapText="1"/>
    </xf>
    <xf numFmtId="3" fontId="17" fillId="0" borderId="10" xfId="3" applyNumberFormat="1" applyFont="1" applyFill="1" applyBorder="1" applyAlignment="1">
      <alignment vertical="center" wrapText="1" readingOrder="2"/>
    </xf>
    <xf numFmtId="12" fontId="17" fillId="0" borderId="2" xfId="1" applyNumberFormat="1" applyFont="1" applyFill="1" applyBorder="1" applyAlignment="1">
      <alignment vertical="center" wrapText="1"/>
    </xf>
    <xf numFmtId="0" fontId="15" fillId="0" borderId="11" xfId="2" applyFont="1" applyFill="1" applyBorder="1" applyAlignment="1">
      <alignment vertical="center" wrapText="1" readingOrder="2"/>
    </xf>
    <xf numFmtId="12" fontId="17" fillId="0" borderId="11" xfId="1" applyNumberFormat="1" applyFont="1" applyFill="1" applyBorder="1" applyAlignment="1">
      <alignment vertical="center" wrapText="1"/>
    </xf>
    <xf numFmtId="168" fontId="17" fillId="0" borderId="11" xfId="3" applyNumberFormat="1" applyFont="1" applyFill="1" applyBorder="1" applyAlignment="1">
      <alignment vertical="center" wrapText="1"/>
    </xf>
    <xf numFmtId="166" fontId="17" fillId="0" borderId="11" xfId="1" applyNumberFormat="1" applyFont="1" applyFill="1" applyBorder="1" applyAlignment="1">
      <alignment vertical="center" wrapText="1" readingOrder="2"/>
    </xf>
    <xf numFmtId="170" fontId="17" fillId="0" borderId="11" xfId="1" applyNumberFormat="1" applyFont="1" applyFill="1" applyBorder="1" applyAlignment="1">
      <alignment vertical="center" wrapText="1"/>
    </xf>
    <xf numFmtId="165" fontId="17" fillId="0" borderId="11" xfId="2" applyNumberFormat="1" applyFont="1" applyFill="1" applyBorder="1" applyAlignment="1">
      <alignment vertical="center" wrapText="1"/>
    </xf>
    <xf numFmtId="3" fontId="17" fillId="0" borderId="11" xfId="2" applyNumberFormat="1" applyFont="1" applyFill="1" applyBorder="1" applyAlignment="1">
      <alignment vertical="center" wrapText="1"/>
    </xf>
    <xf numFmtId="168" fontId="17" fillId="0" borderId="11" xfId="2" applyNumberFormat="1" applyFont="1" applyFill="1" applyBorder="1" applyAlignment="1">
      <alignment vertical="center" wrapText="1"/>
    </xf>
    <xf numFmtId="3" fontId="17" fillId="0" borderId="11" xfId="3" applyNumberFormat="1" applyFont="1" applyFill="1" applyBorder="1" applyAlignment="1">
      <alignment vertical="center" wrapText="1" readingOrder="2"/>
    </xf>
    <xf numFmtId="2" fontId="7" fillId="0" borderId="3" xfId="0" applyNumberFormat="1" applyFont="1" applyBorder="1" applyAlignment="1">
      <alignment horizontal="right" vertical="center"/>
    </xf>
    <xf numFmtId="2" fontId="7" fillId="0" borderId="12" xfId="0" applyNumberFormat="1" applyFont="1" applyBorder="1" applyAlignment="1">
      <alignment horizontal="right" vertical="center"/>
    </xf>
    <xf numFmtId="2" fontId="7" fillId="0" borderId="8" xfId="0" applyNumberFormat="1" applyFont="1" applyBorder="1" applyAlignment="1">
      <alignment horizontal="right" vertical="center"/>
    </xf>
    <xf numFmtId="2" fontId="7" fillId="0" borderId="5" xfId="0" applyNumberFormat="1" applyFont="1" applyBorder="1" applyAlignment="1">
      <alignment horizontal="right" vertical="center"/>
    </xf>
    <xf numFmtId="0" fontId="17" fillId="0" borderId="2" xfId="1" applyNumberFormat="1" applyFont="1" applyFill="1" applyBorder="1" applyAlignment="1">
      <alignment vertical="center" wrapText="1"/>
    </xf>
    <xf numFmtId="0" fontId="17" fillId="0" borderId="11" xfId="1" applyNumberFormat="1" applyFont="1" applyFill="1" applyBorder="1" applyAlignment="1">
      <alignment vertical="center" wrapText="1"/>
    </xf>
    <xf numFmtId="1" fontId="17" fillId="0" borderId="2" xfId="2" applyNumberFormat="1" applyFont="1" applyFill="1" applyBorder="1" applyAlignment="1">
      <alignment vertical="center" wrapText="1"/>
    </xf>
    <xf numFmtId="166" fontId="7" fillId="0" borderId="5" xfId="1" applyNumberFormat="1" applyFont="1" applyBorder="1" applyAlignment="1">
      <alignment horizontal="center" vertical="center" wrapText="1"/>
    </xf>
    <xf numFmtId="165" fontId="7" fillId="0" borderId="12" xfId="0" applyNumberFormat="1" applyFont="1" applyBorder="1" applyAlignment="1">
      <alignment horizontal="center" vertical="center" wrapText="1"/>
    </xf>
    <xf numFmtId="0" fontId="11" fillId="0" borderId="10" xfId="0" applyFont="1" applyBorder="1" applyAlignment="1">
      <alignment horizontal="right" vertical="center"/>
    </xf>
    <xf numFmtId="0" fontId="11" fillId="0" borderId="2" xfId="0" applyFont="1" applyBorder="1" applyAlignment="1">
      <alignment horizontal="right" vertical="center"/>
    </xf>
    <xf numFmtId="0" fontId="11" fillId="0" borderId="13" xfId="0" applyFont="1" applyBorder="1" applyAlignment="1">
      <alignment horizontal="right" vertical="center"/>
    </xf>
    <xf numFmtId="2" fontId="11" fillId="0" borderId="13" xfId="0" applyNumberFormat="1" applyFont="1" applyBorder="1" applyAlignment="1">
      <alignment horizontal="right" vertical="center"/>
    </xf>
    <xf numFmtId="43" fontId="11" fillId="0" borderId="3" xfId="1" applyFont="1" applyBorder="1" applyAlignment="1">
      <alignment horizontal="right" vertical="center"/>
    </xf>
    <xf numFmtId="1" fontId="11" fillId="0" borderId="13" xfId="0" applyNumberFormat="1" applyFont="1" applyBorder="1" applyAlignment="1">
      <alignment vertical="center"/>
    </xf>
    <xf numFmtId="1" fontId="11" fillId="0" borderId="11" xfId="0" applyNumberFormat="1" applyFont="1" applyBorder="1" applyAlignment="1">
      <alignment vertical="center"/>
    </xf>
    <xf numFmtId="167" fontId="17" fillId="0" borderId="0" xfId="3" applyNumberFormat="1" applyFont="1" applyFill="1" applyBorder="1" applyAlignment="1">
      <alignment vertical="center" wrapText="1"/>
    </xf>
    <xf numFmtId="3" fontId="17" fillId="7" borderId="6" xfId="3" applyNumberFormat="1" applyFont="1" applyFill="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2" xfId="0" applyFont="1" applyBorder="1" applyAlignment="1">
      <alignment vertical="center" wrapText="1"/>
    </xf>
    <xf numFmtId="0" fontId="8" fillId="7" borderId="7" xfId="0" applyFont="1" applyFill="1" applyBorder="1" applyAlignment="1">
      <alignment horizontal="right" vertical="center" wrapText="1"/>
    </xf>
    <xf numFmtId="0" fontId="9" fillId="9" borderId="13" xfId="0" applyFont="1" applyFill="1" applyBorder="1" applyAlignment="1">
      <alignment horizontal="right" vertical="center"/>
    </xf>
    <xf numFmtId="0" fontId="11" fillId="0" borderId="12" xfId="0" applyFont="1" applyBorder="1" applyAlignment="1">
      <alignment horizontal="right" vertical="center" readingOrder="2"/>
    </xf>
    <xf numFmtId="2" fontId="11" fillId="0" borderId="12" xfId="0" applyNumberFormat="1" applyFont="1" applyBorder="1" applyAlignment="1">
      <alignment horizontal="right" vertical="center" readingOrder="2"/>
    </xf>
    <xf numFmtId="0" fontId="11" fillId="0" borderId="0" xfId="0" applyFont="1" applyAlignment="1">
      <alignment vertical="center"/>
    </xf>
    <xf numFmtId="0" fontId="8" fillId="7" borderId="7" xfId="0" applyFont="1" applyFill="1" applyBorder="1" applyAlignment="1">
      <alignment horizontal="right" vertical="center" wrapText="1" readingOrder="2"/>
    </xf>
    <xf numFmtId="0" fontId="8" fillId="6" borderId="9" xfId="2" applyFont="1" applyFill="1" applyBorder="1" applyAlignment="1">
      <alignment horizontal="center" vertical="center" wrapText="1" readingOrder="2"/>
    </xf>
    <xf numFmtId="0" fontId="8" fillId="7" borderId="13" xfId="0" applyFont="1" applyFill="1" applyBorder="1" applyAlignment="1">
      <alignment horizontal="right" vertical="center" wrapText="1" readingOrder="2"/>
    </xf>
    <xf numFmtId="167" fontId="7" fillId="0" borderId="2" xfId="0" applyNumberFormat="1" applyFont="1" applyFill="1" applyBorder="1" applyAlignment="1">
      <alignment horizontal="left" vertical="center" wrapText="1"/>
    </xf>
    <xf numFmtId="0" fontId="56" fillId="7" borderId="13" xfId="0" applyFont="1" applyFill="1" applyBorder="1" applyAlignment="1">
      <alignment horizontal="right" vertical="center" readingOrder="2"/>
    </xf>
    <xf numFmtId="0" fontId="56" fillId="7" borderId="13" xfId="0" applyFont="1" applyFill="1" applyBorder="1" applyAlignment="1">
      <alignment horizontal="right" vertical="center" wrapText="1" readingOrder="2"/>
    </xf>
    <xf numFmtId="0" fontId="46" fillId="0" borderId="0" xfId="0" applyFont="1" applyFill="1" applyBorder="1" applyAlignment="1">
      <alignment horizontal="right" vertical="center" wrapText="1" readingOrder="2"/>
    </xf>
    <xf numFmtId="2" fontId="57" fillId="0" borderId="0" xfId="0" applyNumberFormat="1" applyFont="1" applyBorder="1" applyAlignment="1">
      <alignment horizontal="left" vertical="center" wrapText="1" readingOrder="1"/>
    </xf>
    <xf numFmtId="43" fontId="57" fillId="0" borderId="0" xfId="1" applyFont="1" applyBorder="1" applyAlignment="1">
      <alignment horizontal="left" vertical="center" wrapText="1" readingOrder="1"/>
    </xf>
    <xf numFmtId="0" fontId="11" fillId="0" borderId="2" xfId="0" applyFont="1" applyBorder="1" applyAlignment="1">
      <alignment horizontal="left" vertical="center" wrapText="1" readingOrder="2"/>
    </xf>
    <xf numFmtId="0" fontId="12" fillId="0" borderId="0" xfId="0" applyFont="1" applyBorder="1" applyAlignment="1">
      <alignment horizontal="center" vertical="center" wrapText="1"/>
    </xf>
    <xf numFmtId="0" fontId="10" fillId="0" borderId="3" xfId="0" applyFont="1" applyBorder="1" applyAlignment="1">
      <alignment horizontal="right" vertical="center" wrapText="1"/>
    </xf>
    <xf numFmtId="0" fontId="10" fillId="0" borderId="2" xfId="0" applyFont="1" applyBorder="1" applyAlignment="1">
      <alignment horizontal="right" vertical="center" wrapText="1"/>
    </xf>
    <xf numFmtId="0" fontId="10" fillId="0" borderId="11" xfId="0" applyFont="1" applyBorder="1" applyAlignment="1">
      <alignment horizontal="right" vertical="center" wrapText="1"/>
    </xf>
    <xf numFmtId="0" fontId="16" fillId="6" borderId="1" xfId="0" applyFont="1" applyFill="1" applyBorder="1" applyAlignment="1">
      <alignment horizontal="right" vertical="center" wrapText="1" readingOrder="2"/>
    </xf>
    <xf numFmtId="0" fontId="8" fillId="0" borderId="0" xfId="0" applyFont="1" applyFill="1" applyBorder="1" applyAlignment="1">
      <alignment horizontal="right" vertical="center" wrapText="1"/>
    </xf>
    <xf numFmtId="0" fontId="18" fillId="0" borderId="0" xfId="0" applyFont="1" applyBorder="1" applyAlignment="1">
      <alignment horizontal="right" vertical="center" wrapText="1"/>
    </xf>
    <xf numFmtId="0" fontId="4" fillId="0" borderId="8" xfId="0" applyFont="1" applyBorder="1" applyAlignment="1">
      <alignment horizontal="center" vertical="center" wrapText="1"/>
    </xf>
    <xf numFmtId="0" fontId="10" fillId="0" borderId="10" xfId="0" applyFont="1" applyBorder="1" applyAlignment="1">
      <alignment horizontal="right" vertical="center" wrapText="1"/>
    </xf>
    <xf numFmtId="168" fontId="43" fillId="0" borderId="0" xfId="0" applyNumberFormat="1" applyFont="1" applyBorder="1" applyAlignment="1">
      <alignment horizontal="center" vertical="center"/>
    </xf>
    <xf numFmtId="168" fontId="43" fillId="0" borderId="0" xfId="0" applyNumberFormat="1" applyFont="1" applyBorder="1"/>
    <xf numFmtId="0" fontId="58" fillId="0" borderId="0" xfId="0" applyFont="1"/>
    <xf numFmtId="0" fontId="43" fillId="0" borderId="0" xfId="0" applyFont="1" applyBorder="1" applyAlignment="1">
      <alignment horizontal="right" wrapText="1"/>
    </xf>
    <xf numFmtId="0" fontId="58" fillId="0" borderId="7" xfId="0" applyFont="1" applyBorder="1"/>
    <xf numFmtId="0" fontId="6" fillId="0" borderId="5" xfId="0" applyFont="1" applyBorder="1" applyAlignment="1">
      <alignment horizontal="center" vertical="center"/>
    </xf>
    <xf numFmtId="0" fontId="25" fillId="0" borderId="5" xfId="0" applyFont="1" applyBorder="1" applyAlignment="1">
      <alignment horizontal="center" vertical="center"/>
    </xf>
    <xf numFmtId="0" fontId="7" fillId="11" borderId="10" xfId="0" applyFont="1" applyFill="1" applyBorder="1" applyAlignment="1">
      <alignment horizontal="right" vertical="center"/>
    </xf>
    <xf numFmtId="2" fontId="7" fillId="11" borderId="10" xfId="0" applyNumberFormat="1" applyFont="1" applyFill="1" applyBorder="1" applyAlignment="1">
      <alignment horizontal="right" vertical="center"/>
    </xf>
    <xf numFmtId="2" fontId="7" fillId="11" borderId="2" xfId="0" applyNumberFormat="1" applyFont="1" applyFill="1" applyBorder="1" applyAlignment="1">
      <alignment horizontal="right" vertical="center"/>
    </xf>
    <xf numFmtId="0" fontId="7" fillId="11" borderId="3" xfId="0" applyFont="1" applyFill="1" applyBorder="1" applyAlignment="1">
      <alignment horizontal="right" vertical="center"/>
    </xf>
    <xf numFmtId="2" fontId="7" fillId="11" borderId="3" xfId="0" applyNumberFormat="1" applyFont="1" applyFill="1" applyBorder="1" applyAlignment="1">
      <alignment horizontal="right" vertical="center"/>
    </xf>
    <xf numFmtId="0" fontId="7" fillId="11" borderId="5" xfId="0" applyFont="1" applyFill="1" applyBorder="1" applyAlignment="1">
      <alignment horizontal="right" vertical="center"/>
    </xf>
    <xf numFmtId="2" fontId="7" fillId="11" borderId="5" xfId="0" applyNumberFormat="1" applyFont="1" applyFill="1" applyBorder="1" applyAlignment="1">
      <alignment horizontal="right" vertical="center"/>
    </xf>
    <xf numFmtId="0" fontId="11" fillId="0" borderId="10" xfId="0" applyFont="1" applyBorder="1" applyAlignment="1">
      <alignment horizontal="left" vertical="center" wrapText="1" readingOrder="2"/>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19" xfId="0" applyFont="1" applyBorder="1" applyAlignment="1">
      <alignment vertical="center" wrapText="1"/>
    </xf>
    <xf numFmtId="0" fontId="11" fillId="10" borderId="19" xfId="0" applyFont="1" applyFill="1" applyBorder="1" applyAlignment="1">
      <alignment vertical="center" wrapText="1"/>
    </xf>
    <xf numFmtId="3" fontId="25" fillId="0" borderId="5" xfId="0" applyNumberFormat="1" applyFont="1" applyBorder="1" applyAlignment="1">
      <alignment horizontal="center" vertical="center"/>
    </xf>
    <xf numFmtId="0" fontId="11" fillId="0" borderId="11" xfId="0" applyFont="1" applyBorder="1" applyAlignment="1">
      <alignment horizontal="left" vertical="center" wrapText="1" readingOrder="2"/>
    </xf>
    <xf numFmtId="0" fontId="11" fillId="0" borderId="10" xfId="0" applyFont="1" applyBorder="1" applyAlignment="1">
      <alignment vertical="center" wrapText="1" readingOrder="2"/>
    </xf>
    <xf numFmtId="0" fontId="11" fillId="0" borderId="2" xfId="0" applyFont="1" applyBorder="1" applyAlignment="1">
      <alignment vertical="center" wrapText="1" readingOrder="2"/>
    </xf>
    <xf numFmtId="0" fontId="11" fillId="0" borderId="3" xfId="0" applyFont="1" applyBorder="1" applyAlignment="1">
      <alignment vertical="center" wrapText="1"/>
    </xf>
    <xf numFmtId="0" fontId="8" fillId="0" borderId="0" xfId="0" applyFont="1" applyFill="1" applyBorder="1" applyAlignment="1">
      <alignment horizontal="right" vertical="center" wrapText="1"/>
    </xf>
    <xf numFmtId="0" fontId="11" fillId="0" borderId="12" xfId="0" applyFont="1" applyBorder="1" applyAlignment="1">
      <alignment vertical="center" wrapText="1"/>
    </xf>
    <xf numFmtId="0" fontId="8" fillId="0" borderId="5" xfId="0" applyFont="1" applyBorder="1" applyAlignment="1">
      <alignment vertical="center"/>
    </xf>
    <xf numFmtId="0" fontId="28" fillId="0" borderId="0" xfId="0" applyFont="1" applyFill="1" applyBorder="1" applyAlignment="1">
      <alignment wrapText="1"/>
    </xf>
    <xf numFmtId="0" fontId="61" fillId="6" borderId="1" xfId="0" applyFont="1" applyFill="1" applyBorder="1" applyAlignment="1">
      <alignment horizontal="right" vertical="center" readingOrder="2"/>
    </xf>
    <xf numFmtId="0" fontId="2" fillId="0" borderId="0" xfId="0" applyFont="1" applyFill="1" applyBorder="1" applyAlignment="1">
      <alignment horizontal="center" vertical="center" wrapText="1"/>
    </xf>
    <xf numFmtId="2" fontId="57" fillId="0" borderId="0" xfId="1" applyNumberFormat="1" applyFont="1" applyFill="1" applyBorder="1" applyAlignment="1">
      <alignment vertical="center"/>
    </xf>
    <xf numFmtId="167" fontId="57" fillId="0" borderId="0" xfId="1" applyNumberFormat="1" applyFont="1" applyBorder="1" applyAlignment="1">
      <alignment horizontal="center" vertical="center"/>
    </xf>
    <xf numFmtId="167" fontId="57" fillId="0" borderId="0" xfId="1" applyNumberFormat="1" applyFont="1" applyFill="1" applyBorder="1" applyAlignment="1">
      <alignment horizontal="center" vertical="center"/>
    </xf>
    <xf numFmtId="165" fontId="11" fillId="0" borderId="0" xfId="0" applyNumberFormat="1" applyFont="1" applyBorder="1" applyAlignment="1">
      <alignment horizontal="center" vertical="center" wrapText="1" readingOrder="2"/>
    </xf>
    <xf numFmtId="167" fontId="11" fillId="0" borderId="0" xfId="1" applyNumberFormat="1" applyFont="1" applyBorder="1" applyAlignment="1">
      <alignment vertical="center"/>
    </xf>
    <xf numFmtId="167" fontId="57" fillId="0" borderId="0" xfId="1" applyNumberFormat="1" applyFont="1" applyBorder="1" applyAlignment="1">
      <alignment vertical="center"/>
    </xf>
    <xf numFmtId="0" fontId="0" fillId="0" borderId="0" xfId="0" applyFill="1" applyBorder="1" applyAlignment="1">
      <alignment wrapText="1"/>
    </xf>
    <xf numFmtId="0" fontId="28" fillId="0" borderId="0" xfId="0" applyFont="1" applyFill="1" applyBorder="1" applyAlignment="1">
      <alignment vertical="center" wrapText="1"/>
    </xf>
    <xf numFmtId="0" fontId="11" fillId="0" borderId="0" xfId="0" applyFont="1" applyBorder="1" applyAlignment="1">
      <alignment horizontal="center" vertical="center" wrapText="1" readingOrder="2"/>
    </xf>
    <xf numFmtId="0" fontId="62" fillId="7" borderId="0" xfId="0" applyFont="1" applyFill="1" applyBorder="1" applyAlignment="1">
      <alignment horizontal="right" vertical="center" wrapText="1"/>
    </xf>
    <xf numFmtId="0" fontId="28" fillId="7" borderId="0" xfId="0" applyFont="1" applyFill="1" applyBorder="1" applyAlignment="1">
      <alignment horizontal="right" vertical="center" wrapText="1"/>
    </xf>
    <xf numFmtId="0" fontId="62" fillId="7" borderId="5" xfId="0" applyFont="1" applyFill="1" applyBorder="1" applyAlignment="1">
      <alignment horizontal="right" vertical="center" wrapText="1"/>
    </xf>
    <xf numFmtId="0" fontId="28" fillId="7" borderId="7" xfId="0" applyFont="1" applyFill="1" applyBorder="1" applyAlignment="1">
      <alignment horizontal="right" vertical="center" wrapText="1"/>
    </xf>
    <xf numFmtId="0" fontId="28" fillId="7" borderId="8" xfId="0" applyFont="1" applyFill="1" applyBorder="1" applyAlignment="1">
      <alignment horizontal="right" vertical="center" wrapText="1"/>
    </xf>
    <xf numFmtId="0" fontId="8" fillId="0" borderId="0" xfId="0" applyFont="1" applyBorder="1" applyAlignment="1">
      <alignment horizontal="right" vertical="center"/>
    </xf>
    <xf numFmtId="0" fontId="1" fillId="0" borderId="0" xfId="0" applyFont="1" applyFill="1" applyBorder="1" applyAlignment="1">
      <alignment wrapText="1"/>
    </xf>
    <xf numFmtId="165" fontId="11" fillId="0" borderId="0" xfId="0" applyNumberFormat="1" applyFont="1" applyBorder="1" applyAlignment="1">
      <alignment vertical="center" wrapText="1" readingOrder="2"/>
    </xf>
    <xf numFmtId="0" fontId="64" fillId="7" borderId="0" xfId="0" applyFont="1" applyFill="1" applyBorder="1" applyAlignment="1">
      <alignment horizontal="right" vertical="center" wrapText="1"/>
    </xf>
    <xf numFmtId="0" fontId="63" fillId="7" borderId="0" xfId="0" applyFont="1" applyFill="1" applyBorder="1" applyAlignment="1">
      <alignment horizontal="right" vertical="center" wrapText="1"/>
    </xf>
    <xf numFmtId="0" fontId="64" fillId="7" borderId="5" xfId="0" applyFont="1" applyFill="1" applyBorder="1" applyAlignment="1">
      <alignment horizontal="right" vertical="center" wrapText="1"/>
    </xf>
    <xf numFmtId="0" fontId="63" fillId="7" borderId="8" xfId="0" applyFont="1" applyFill="1" applyBorder="1" applyAlignment="1">
      <alignment horizontal="right" vertical="center" wrapText="1"/>
    </xf>
    <xf numFmtId="0" fontId="63" fillId="7" borderId="7" xfId="0" applyFont="1" applyFill="1" applyBorder="1" applyAlignment="1">
      <alignment horizontal="right" vertical="center" wrapText="1"/>
    </xf>
    <xf numFmtId="0" fontId="8" fillId="0" borderId="9" xfId="0" applyFont="1" applyFill="1" applyBorder="1" applyAlignment="1">
      <alignment vertical="top" wrapText="1"/>
    </xf>
    <xf numFmtId="0" fontId="8" fillId="0" borderId="0" xfId="0" applyFont="1" applyFill="1" applyBorder="1" applyAlignment="1">
      <alignment vertical="top" wrapText="1"/>
    </xf>
    <xf numFmtId="0" fontId="8" fillId="0" borderId="7" xfId="0" applyFont="1" applyFill="1" applyBorder="1" applyAlignment="1">
      <alignment vertical="top" wrapText="1"/>
    </xf>
    <xf numFmtId="165" fontId="11" fillId="0" borderId="10" xfId="0" applyNumberFormat="1" applyFont="1" applyBorder="1" applyAlignment="1">
      <alignment vertical="center" wrapText="1" readingOrder="1"/>
    </xf>
    <xf numFmtId="0" fontId="10" fillId="7" borderId="5" xfId="0" applyFont="1" applyFill="1" applyBorder="1" applyAlignment="1">
      <alignment horizontal="right" vertical="center" wrapText="1"/>
    </xf>
    <xf numFmtId="0" fontId="10" fillId="0" borderId="10" xfId="0" applyFont="1" applyBorder="1" applyAlignment="1">
      <alignment vertical="center" wrapText="1" readingOrder="1"/>
    </xf>
    <xf numFmtId="0" fontId="10" fillId="0" borderId="2" xfId="0" applyFont="1" applyBorder="1" applyAlignment="1">
      <alignment vertical="center" wrapText="1" readingOrder="1"/>
    </xf>
    <xf numFmtId="165" fontId="11" fillId="0" borderId="2" xfId="0" applyNumberFormat="1" applyFont="1" applyBorder="1" applyAlignment="1">
      <alignment vertical="center" wrapText="1" readingOrder="1"/>
    </xf>
    <xf numFmtId="165" fontId="11" fillId="0" borderId="13" xfId="0" applyNumberFormat="1" applyFont="1" applyBorder="1" applyAlignment="1">
      <alignment vertical="center" wrapText="1" readingOrder="2"/>
    </xf>
    <xf numFmtId="0" fontId="10" fillId="0" borderId="12" xfId="0" applyFont="1" applyBorder="1" applyAlignment="1">
      <alignment horizontal="right" vertical="center" wrapText="1" readingOrder="1"/>
    </xf>
    <xf numFmtId="0" fontId="10" fillId="0" borderId="2" xfId="0" applyFont="1" applyBorder="1" applyAlignment="1">
      <alignment horizontal="right" vertical="center" wrapText="1" readingOrder="1"/>
    </xf>
    <xf numFmtId="0" fontId="10" fillId="0" borderId="13" xfId="0" applyFont="1" applyBorder="1" applyAlignment="1">
      <alignment horizontal="right" vertical="center" wrapText="1" readingOrder="2"/>
    </xf>
    <xf numFmtId="0" fontId="10" fillId="0" borderId="10" xfId="0" applyFont="1" applyBorder="1" applyAlignment="1">
      <alignment horizontal="right" vertical="center" wrapText="1" readingOrder="1"/>
    </xf>
    <xf numFmtId="0" fontId="10" fillId="0" borderId="13" xfId="0" applyFont="1" applyBorder="1" applyAlignment="1">
      <alignment horizontal="right" vertical="center" wrapText="1" readingOrder="1"/>
    </xf>
    <xf numFmtId="0" fontId="10" fillId="0" borderId="3" xfId="0" applyFont="1" applyBorder="1" applyAlignment="1">
      <alignment horizontal="right" vertical="center" wrapText="1" readingOrder="1"/>
    </xf>
    <xf numFmtId="0" fontId="1" fillId="0" borderId="0" xfId="0" applyFont="1" applyBorder="1"/>
    <xf numFmtId="0" fontId="10" fillId="0" borderId="11" xfId="0" applyFont="1" applyBorder="1" applyAlignment="1">
      <alignment horizontal="right" vertical="center" wrapText="1" readingOrder="1"/>
    </xf>
    <xf numFmtId="0" fontId="26" fillId="6" borderId="1" xfId="3" applyFont="1" applyFill="1" applyBorder="1" applyAlignment="1">
      <alignment horizontal="center" vertical="center"/>
    </xf>
    <xf numFmtId="0" fontId="15" fillId="0" borderId="5" xfId="0" applyFont="1" applyBorder="1" applyAlignment="1">
      <alignment vertical="center" wrapText="1"/>
    </xf>
    <xf numFmtId="0" fontId="26" fillId="0" borderId="9" xfId="2" applyFont="1" applyBorder="1" applyAlignment="1">
      <alignment horizontal="center" vertical="center"/>
    </xf>
    <xf numFmtId="0" fontId="15" fillId="0" borderId="5" xfId="0" applyFont="1" applyBorder="1" applyAlignment="1">
      <alignment horizontal="right" vertical="center" wrapText="1"/>
    </xf>
    <xf numFmtId="0" fontId="19" fillId="0" borderId="5" xfId="3" applyBorder="1"/>
    <xf numFmtId="0" fontId="35" fillId="0" borderId="5" xfId="3" applyFont="1" applyBorder="1" applyAlignment="1">
      <alignment horizontal="center" vertical="center"/>
    </xf>
    <xf numFmtId="0" fontId="17" fillId="0" borderId="5" xfId="3" applyFont="1" applyBorder="1" applyAlignment="1">
      <alignment horizontal="center" vertical="center"/>
    </xf>
    <xf numFmtId="0" fontId="11" fillId="0" borderId="5" xfId="0" applyFont="1" applyBorder="1" applyAlignment="1">
      <alignment horizontal="center" vertical="center"/>
    </xf>
    <xf numFmtId="0" fontId="15" fillId="0" borderId="5" xfId="0" applyFont="1" applyBorder="1" applyAlignment="1">
      <alignment vertical="center" wrapText="1" readingOrder="2"/>
    </xf>
    <xf numFmtId="3" fontId="17" fillId="0" borderId="5" xfId="3" applyNumberFormat="1" applyFont="1" applyBorder="1" applyAlignment="1">
      <alignment horizontal="center" vertical="center" wrapText="1"/>
    </xf>
    <xf numFmtId="3" fontId="17" fillId="0" borderId="5" xfId="3" applyNumberFormat="1" applyFont="1" applyBorder="1" applyAlignment="1">
      <alignment horizontal="left" vertical="center" wrapText="1"/>
    </xf>
    <xf numFmtId="0" fontId="26" fillId="0" borderId="5" xfId="2" applyFont="1" applyBorder="1" applyAlignment="1">
      <alignment horizontal="center" vertical="center" readingOrder="2"/>
    </xf>
    <xf numFmtId="0" fontId="41" fillId="0" borderId="5" xfId="2" applyFont="1" applyBorder="1" applyAlignment="1">
      <alignment horizontal="center" vertical="center" readingOrder="2"/>
    </xf>
    <xf numFmtId="0" fontId="17" fillId="0" borderId="5" xfId="2" applyFont="1" applyBorder="1" applyAlignment="1">
      <alignment horizontal="center" vertical="center" readingOrder="2"/>
    </xf>
    <xf numFmtId="0" fontId="35" fillId="0" borderId="5" xfId="2" applyFont="1" applyBorder="1" applyAlignment="1">
      <alignment horizontal="center" vertical="center"/>
    </xf>
    <xf numFmtId="0" fontId="21" fillId="0" borderId="5" xfId="2" applyFont="1" applyBorder="1"/>
    <xf numFmtId="0" fontId="2" fillId="0" borderId="0" xfId="0" applyFont="1" applyFill="1" applyBorder="1" applyAlignment="1">
      <alignment horizontal="right" vertical="center" wrapText="1"/>
    </xf>
    <xf numFmtId="0" fontId="43" fillId="0" borderId="7" xfId="0" applyFont="1" applyBorder="1" applyAlignment="1">
      <alignment horizontal="right" vertical="center" wrapText="1"/>
    </xf>
    <xf numFmtId="0" fontId="9" fillId="0" borderId="0" xfId="0" applyFont="1" applyBorder="1" applyAlignment="1">
      <alignment vertical="center"/>
    </xf>
    <xf numFmtId="0" fontId="6" fillId="0" borderId="5" xfId="0" applyFont="1" applyBorder="1" applyAlignment="1">
      <alignment horizontal="center" vertical="center"/>
    </xf>
    <xf numFmtId="165" fontId="57" fillId="0" borderId="12" xfId="1" applyNumberFormat="1" applyFont="1" applyBorder="1" applyAlignment="1">
      <alignment horizontal="right" vertical="center"/>
    </xf>
    <xf numFmtId="165" fontId="57" fillId="0" borderId="2" xfId="1" applyNumberFormat="1" applyFont="1" applyBorder="1" applyAlignment="1">
      <alignment horizontal="right" vertical="center"/>
    </xf>
    <xf numFmtId="165" fontId="57" fillId="0" borderId="10" xfId="1" applyNumberFormat="1" applyFont="1" applyBorder="1" applyAlignment="1">
      <alignment horizontal="right" vertical="center"/>
    </xf>
    <xf numFmtId="0" fontId="0" fillId="0" borderId="9" xfId="0" applyBorder="1"/>
    <xf numFmtId="165" fontId="57" fillId="0" borderId="13" xfId="1" applyNumberFormat="1" applyFont="1" applyBorder="1" applyAlignment="1">
      <alignment horizontal="right" vertical="center"/>
    </xf>
    <xf numFmtId="165" fontId="57" fillId="0" borderId="11" xfId="1" applyNumberFormat="1" applyFont="1" applyBorder="1" applyAlignment="1">
      <alignment horizontal="right" vertical="center"/>
    </xf>
    <xf numFmtId="165" fontId="57" fillId="0" borderId="3" xfId="1" applyNumberFormat="1" applyFont="1" applyBorder="1" applyAlignment="1">
      <alignment horizontal="right" vertical="center"/>
    </xf>
    <xf numFmtId="0" fontId="62" fillId="6" borderId="1" xfId="0" applyFont="1" applyFill="1" applyBorder="1" applyAlignment="1">
      <alignment horizontal="right" vertical="center" readingOrder="2"/>
    </xf>
    <xf numFmtId="0" fontId="0" fillId="0" borderId="0" xfId="0" applyFill="1" applyBorder="1" applyAlignment="1">
      <alignment horizontal="right" wrapText="1"/>
    </xf>
    <xf numFmtId="0" fontId="2" fillId="0" borderId="0" xfId="0" applyFont="1" applyFill="1" applyBorder="1" applyAlignment="1">
      <alignment vertical="center" wrapText="1"/>
    </xf>
    <xf numFmtId="168" fontId="11" fillId="0" borderId="10" xfId="1" applyNumberFormat="1" applyFont="1" applyBorder="1" applyAlignment="1">
      <alignment vertical="center" wrapText="1" readingOrder="1"/>
    </xf>
    <xf numFmtId="168" fontId="11" fillId="0" borderId="2" xfId="1" applyNumberFormat="1" applyFont="1" applyBorder="1" applyAlignment="1">
      <alignment vertical="center" wrapText="1" readingOrder="1"/>
    </xf>
    <xf numFmtId="168" fontId="11" fillId="0" borderId="3" xfId="1" applyNumberFormat="1" applyFont="1" applyBorder="1" applyAlignment="1">
      <alignment vertical="center" wrapText="1" readingOrder="1"/>
    </xf>
    <xf numFmtId="168" fontId="11" fillId="0" borderId="10" xfId="0" applyNumberFormat="1" applyFont="1" applyBorder="1" applyAlignment="1">
      <alignment vertical="center" wrapText="1" readingOrder="1"/>
    </xf>
    <xf numFmtId="168" fontId="11" fillId="0" borderId="2" xfId="0" applyNumberFormat="1" applyFont="1" applyBorder="1" applyAlignment="1">
      <alignment vertical="center" wrapText="1" readingOrder="1"/>
    </xf>
    <xf numFmtId="168" fontId="11" fillId="0" borderId="3" xfId="0" applyNumberFormat="1" applyFont="1" applyBorder="1" applyAlignment="1">
      <alignment vertical="center" wrapText="1" readingOrder="2"/>
    </xf>
    <xf numFmtId="168" fontId="11" fillId="0" borderId="12" xfId="0" applyNumberFormat="1" applyFont="1" applyBorder="1" applyAlignment="1">
      <alignment vertical="center" wrapText="1" readingOrder="1"/>
    </xf>
    <xf numFmtId="168" fontId="11" fillId="0" borderId="12" xfId="1" applyNumberFormat="1" applyFont="1" applyBorder="1" applyAlignment="1">
      <alignment vertical="center" wrapText="1" readingOrder="1"/>
    </xf>
    <xf numFmtId="168" fontId="11" fillId="0" borderId="13" xfId="1" applyNumberFormat="1" applyFont="1" applyBorder="1" applyAlignment="1">
      <alignment vertical="center" wrapText="1" readingOrder="1"/>
    </xf>
    <xf numFmtId="168" fontId="11" fillId="0" borderId="13" xfId="0" applyNumberFormat="1" applyFont="1" applyBorder="1" applyAlignment="1">
      <alignment vertical="center" wrapText="1" readingOrder="2"/>
    </xf>
    <xf numFmtId="168" fontId="11" fillId="0" borderId="11" xfId="1" applyNumberFormat="1" applyFont="1" applyBorder="1" applyAlignment="1">
      <alignment vertical="center" wrapText="1" readingOrder="1"/>
    </xf>
    <xf numFmtId="0" fontId="64" fillId="0" borderId="10" xfId="1" applyNumberFormat="1" applyFont="1" applyBorder="1" applyAlignment="1">
      <alignment horizontal="right" vertical="center" readingOrder="2"/>
    </xf>
    <xf numFmtId="0" fontId="64" fillId="0" borderId="2" xfId="1" applyNumberFormat="1" applyFont="1" applyBorder="1" applyAlignment="1">
      <alignment horizontal="right" vertical="center" readingOrder="2"/>
    </xf>
    <xf numFmtId="0" fontId="64" fillId="0" borderId="3" xfId="1" applyNumberFormat="1" applyFont="1" applyBorder="1" applyAlignment="1">
      <alignment horizontal="right" vertical="center" readingOrder="2"/>
    </xf>
    <xf numFmtId="0" fontId="64" fillId="0" borderId="13" xfId="1" applyNumberFormat="1" applyFont="1" applyBorder="1" applyAlignment="1">
      <alignment horizontal="right" vertical="center" readingOrder="2"/>
    </xf>
    <xf numFmtId="0" fontId="64" fillId="0" borderId="11" xfId="1" applyNumberFormat="1" applyFont="1" applyBorder="1" applyAlignment="1">
      <alignment horizontal="right" vertical="center" readingOrder="2"/>
    </xf>
    <xf numFmtId="0" fontId="64" fillId="0" borderId="12" xfId="1" applyNumberFormat="1" applyFont="1" applyBorder="1" applyAlignment="1">
      <alignment horizontal="right" vertical="center" readingOrder="2"/>
    </xf>
    <xf numFmtId="1" fontId="65" fillId="0" borderId="5" xfId="1" applyNumberFormat="1" applyFont="1" applyFill="1" applyBorder="1" applyAlignment="1">
      <alignment horizontal="center" vertical="center"/>
    </xf>
    <xf numFmtId="37" fontId="65" fillId="0" borderId="5" xfId="1" applyNumberFormat="1" applyFont="1" applyFill="1" applyBorder="1" applyAlignment="1">
      <alignment horizontal="center" vertical="center"/>
    </xf>
    <xf numFmtId="0" fontId="6" fillId="0" borderId="5" xfId="0" applyFont="1" applyBorder="1" applyAlignment="1">
      <alignment horizontal="center" vertical="center"/>
    </xf>
    <xf numFmtId="0" fontId="25" fillId="0" borderId="5" xfId="0" applyFont="1" applyBorder="1" applyAlignment="1">
      <alignment vertical="center"/>
    </xf>
    <xf numFmtId="0" fontId="16" fillId="0" borderId="5" xfId="0" applyFont="1" applyBorder="1" applyAlignment="1">
      <alignment horizontal="center" vertical="center" wrapText="1"/>
    </xf>
    <xf numFmtId="0" fontId="6" fillId="0" borderId="5" xfId="0" applyFont="1" applyFill="1" applyBorder="1" applyAlignment="1">
      <alignment horizontal="center" vertical="center"/>
    </xf>
    <xf numFmtId="0" fontId="4" fillId="0" borderId="2" xfId="0" applyFont="1" applyFill="1" applyBorder="1" applyAlignment="1">
      <alignment horizontal="right" vertical="center" wrapText="1"/>
    </xf>
    <xf numFmtId="0" fontId="5" fillId="0" borderId="2" xfId="0" applyFont="1" applyFill="1" applyBorder="1" applyAlignment="1">
      <alignment horizontal="right" vertical="center" wrapText="1"/>
    </xf>
    <xf numFmtId="0" fontId="4" fillId="0" borderId="2" xfId="0" applyFont="1" applyFill="1" applyBorder="1" applyAlignment="1">
      <alignment horizontal="right" vertical="center"/>
    </xf>
    <xf numFmtId="0" fontId="7" fillId="0" borderId="2" xfId="0" applyFont="1" applyFill="1" applyBorder="1" applyAlignment="1">
      <alignment horizontal="left" vertical="center"/>
    </xf>
    <xf numFmtId="0" fontId="7" fillId="0" borderId="2" xfId="0" applyFont="1" applyFill="1" applyBorder="1" applyAlignment="1">
      <alignment horizontal="center" vertical="center"/>
    </xf>
    <xf numFmtId="171" fontId="7" fillId="0" borderId="2" xfId="0" applyNumberFormat="1" applyFont="1" applyFill="1" applyBorder="1" applyAlignment="1">
      <alignment vertical="center" wrapText="1" readingOrder="2"/>
    </xf>
    <xf numFmtId="4" fontId="7" fillId="0" borderId="2" xfId="0" applyNumberFormat="1" applyFont="1" applyFill="1" applyBorder="1" applyAlignment="1">
      <alignment vertical="center" wrapText="1" readingOrder="2"/>
    </xf>
    <xf numFmtId="168" fontId="7" fillId="0" borderId="2" xfId="0" applyNumberFormat="1" applyFont="1" applyFill="1" applyBorder="1" applyAlignment="1">
      <alignment vertical="center" wrapText="1" readingOrder="2"/>
    </xf>
    <xf numFmtId="4" fontId="7" fillId="0" borderId="12" xfId="0" applyNumberFormat="1" applyFont="1" applyFill="1" applyBorder="1" applyAlignment="1">
      <alignment vertical="center" wrapText="1" readingOrder="2"/>
    </xf>
    <xf numFmtId="0" fontId="5" fillId="0" borderId="12" xfId="0" applyFont="1" applyFill="1" applyBorder="1" applyAlignment="1">
      <alignment horizontal="right" vertical="center" wrapText="1"/>
    </xf>
    <xf numFmtId="172" fontId="7" fillId="0" borderId="2" xfId="0" applyNumberFormat="1" applyFont="1" applyFill="1" applyBorder="1" applyAlignment="1">
      <alignment vertical="center" wrapText="1" readingOrder="2"/>
    </xf>
    <xf numFmtId="3" fontId="7" fillId="0" borderId="2" xfId="0" applyNumberFormat="1" applyFont="1" applyFill="1" applyBorder="1" applyAlignment="1">
      <alignment vertical="center" wrapText="1" readingOrder="2"/>
    </xf>
    <xf numFmtId="0" fontId="5" fillId="0" borderId="3" xfId="0" applyFont="1" applyFill="1" applyBorder="1" applyAlignment="1">
      <alignment horizontal="right" vertical="center"/>
    </xf>
    <xf numFmtId="3" fontId="7" fillId="0" borderId="2" xfId="0" applyNumberFormat="1" applyFont="1" applyFill="1" applyBorder="1" applyAlignment="1">
      <alignment horizontal="right" vertical="center" wrapText="1" readingOrder="2"/>
    </xf>
    <xf numFmtId="4" fontId="7" fillId="0" borderId="2" xfId="0" applyNumberFormat="1" applyFont="1" applyFill="1" applyBorder="1" applyAlignment="1">
      <alignment vertical="center" wrapText="1" readingOrder="1"/>
    </xf>
    <xf numFmtId="4" fontId="7" fillId="0" borderId="11" xfId="0" applyNumberFormat="1" applyFont="1" applyFill="1" applyBorder="1" applyAlignment="1">
      <alignment vertical="center" wrapText="1" readingOrder="1"/>
    </xf>
    <xf numFmtId="4" fontId="7" fillId="0" borderId="11" xfId="0" applyNumberFormat="1" applyFont="1" applyFill="1" applyBorder="1" applyAlignment="1">
      <alignment vertical="center" wrapText="1" readingOrder="2"/>
    </xf>
    <xf numFmtId="3" fontId="7" fillId="0" borderId="11" xfId="0" applyNumberFormat="1" applyFont="1" applyFill="1" applyBorder="1" applyAlignment="1">
      <alignment horizontal="right" vertical="center" wrapText="1" readingOrder="1"/>
    </xf>
    <xf numFmtId="165" fontId="7" fillId="0" borderId="10" xfId="1" applyNumberFormat="1" applyFont="1" applyFill="1" applyBorder="1" applyAlignment="1">
      <alignment horizontal="left" vertical="center" wrapText="1"/>
    </xf>
    <xf numFmtId="0" fontId="15" fillId="0" borderId="2" xfId="2" applyFont="1" applyFill="1" applyBorder="1" applyAlignment="1">
      <alignment horizontal="right" vertical="center" wrapText="1"/>
    </xf>
    <xf numFmtId="0" fontId="19" fillId="12" borderId="0" xfId="2" applyFill="1" applyBorder="1"/>
    <xf numFmtId="0" fontId="19" fillId="12" borderId="0" xfId="2" applyFill="1"/>
    <xf numFmtId="165" fontId="19" fillId="12" borderId="0" xfId="2" applyNumberFormat="1" applyFill="1" applyBorder="1" applyAlignment="1"/>
    <xf numFmtId="0" fontId="19" fillId="12" borderId="0" xfId="2" applyFill="1" applyAlignment="1"/>
    <xf numFmtId="0" fontId="15" fillId="0" borderId="2" xfId="2" applyFont="1" applyFill="1" applyBorder="1" applyAlignment="1">
      <alignment horizontal="right" vertical="center" wrapText="1"/>
    </xf>
    <xf numFmtId="0" fontId="15" fillId="0" borderId="2" xfId="2" applyFont="1" applyFill="1" applyBorder="1" applyAlignment="1">
      <alignment horizontal="right" vertical="center" wrapText="1"/>
    </xf>
    <xf numFmtId="0" fontId="15" fillId="0" borderId="2" xfId="2" applyFont="1" applyFill="1" applyBorder="1" applyAlignment="1">
      <alignment horizontal="right" vertical="center" wrapText="1"/>
    </xf>
    <xf numFmtId="3" fontId="0" fillId="0" borderId="0" xfId="0" applyNumberFormat="1" applyFill="1" applyAlignment="1">
      <alignment wrapText="1"/>
    </xf>
    <xf numFmtId="0" fontId="15" fillId="0" borderId="2" xfId="2" applyFont="1" applyFill="1" applyBorder="1" applyAlignment="1">
      <alignment horizontal="right" vertical="center" wrapText="1"/>
    </xf>
    <xf numFmtId="0" fontId="15" fillId="0" borderId="2" xfId="2" applyFont="1" applyFill="1" applyBorder="1" applyAlignment="1">
      <alignment horizontal="right" vertical="center" wrapText="1"/>
    </xf>
    <xf numFmtId="165" fontId="17" fillId="0" borderId="3" xfId="2" applyNumberFormat="1" applyFont="1" applyBorder="1" applyAlignment="1">
      <alignment vertical="center" wrapText="1" readingOrder="2"/>
    </xf>
    <xf numFmtId="3" fontId="17" fillId="0" borderId="3" xfId="3" applyNumberFormat="1" applyFont="1" applyBorder="1" applyAlignment="1">
      <alignment horizontal="right" vertical="center" wrapText="1"/>
    </xf>
    <xf numFmtId="0" fontId="4" fillId="0" borderId="2" xfId="2" applyFont="1" applyFill="1" applyBorder="1" applyAlignment="1">
      <alignment horizontal="right" vertical="center" wrapText="1"/>
    </xf>
    <xf numFmtId="3" fontId="7" fillId="0" borderId="3" xfId="3" applyNumberFormat="1" applyFont="1" applyFill="1" applyBorder="1" applyAlignment="1">
      <alignment vertical="center" wrapText="1"/>
    </xf>
    <xf numFmtId="3" fontId="7" fillId="0" borderId="2" xfId="3" applyNumberFormat="1" applyFont="1" applyFill="1" applyBorder="1" applyAlignment="1">
      <alignment vertical="center" wrapText="1"/>
    </xf>
    <xf numFmtId="3" fontId="7" fillId="0" borderId="12" xfId="3" applyNumberFormat="1" applyFont="1" applyFill="1" applyBorder="1" applyAlignment="1">
      <alignment vertical="center" wrapText="1"/>
    </xf>
    <xf numFmtId="165" fontId="17" fillId="0" borderId="2" xfId="3" applyNumberFormat="1" applyFont="1" applyFill="1" applyBorder="1" applyAlignment="1">
      <alignment vertical="center" wrapText="1"/>
    </xf>
    <xf numFmtId="0" fontId="7" fillId="0" borderId="0" xfId="0" applyFont="1" applyBorder="1" applyAlignment="1">
      <alignment horizontal="right" vertical="center" wrapText="1"/>
    </xf>
    <xf numFmtId="3" fontId="7" fillId="0" borderId="2" xfId="2" applyNumberFormat="1" applyFont="1" applyFill="1" applyBorder="1" applyAlignment="1">
      <alignment vertical="center" wrapText="1"/>
    </xf>
    <xf numFmtId="1" fontId="11" fillId="0" borderId="6" xfId="0" applyNumberFormat="1" applyFont="1" applyBorder="1" applyAlignment="1">
      <alignment vertical="center"/>
    </xf>
    <xf numFmtId="43" fontId="7" fillId="0" borderId="10" xfId="1" applyNumberFormat="1" applyFont="1" applyBorder="1" applyAlignment="1">
      <alignment vertical="center" wrapText="1"/>
    </xf>
    <xf numFmtId="43" fontId="7" fillId="0" borderId="2" xfId="1" applyNumberFormat="1" applyFont="1" applyBorder="1" applyAlignment="1">
      <alignment vertical="center" wrapText="1"/>
    </xf>
    <xf numFmtId="43" fontId="7" fillId="0" borderId="2" xfId="1" applyNumberFormat="1" applyFont="1" applyBorder="1" applyAlignment="1">
      <alignment horizontal="left" vertical="center" wrapText="1"/>
    </xf>
    <xf numFmtId="43" fontId="7" fillId="7" borderId="15" xfId="1" applyNumberFormat="1" applyFont="1" applyFill="1" applyBorder="1" applyAlignment="1">
      <alignment vertical="center" wrapText="1"/>
    </xf>
    <xf numFmtId="0" fontId="11" fillId="0" borderId="5" xfId="0" applyFont="1" applyBorder="1" applyAlignment="1">
      <alignment vertical="center"/>
    </xf>
    <xf numFmtId="165" fontId="11" fillId="0" borderId="12" xfId="0" applyNumberFormat="1" applyFont="1" applyBorder="1" applyAlignment="1">
      <alignment horizontal="right" vertical="center" readingOrder="2"/>
    </xf>
    <xf numFmtId="165" fontId="11" fillId="0" borderId="0" xfId="0" applyNumberFormat="1" applyFont="1" applyAlignment="1">
      <alignment vertical="center"/>
    </xf>
    <xf numFmtId="165" fontId="11" fillId="0" borderId="10" xfId="0" applyNumberFormat="1" applyFont="1" applyBorder="1" applyAlignment="1">
      <alignment vertical="center"/>
    </xf>
    <xf numFmtId="165" fontId="11" fillId="0" borderId="13" xfId="0" applyNumberFormat="1" applyFont="1" applyBorder="1" applyAlignment="1">
      <alignment vertical="center"/>
    </xf>
    <xf numFmtId="165" fontId="11" fillId="0" borderId="11" xfId="0" applyNumberFormat="1" applyFont="1" applyBorder="1" applyAlignment="1">
      <alignment vertical="center"/>
    </xf>
    <xf numFmtId="165" fontId="0" fillId="0" borderId="0" xfId="0" applyNumberFormat="1"/>
    <xf numFmtId="2" fontId="11" fillId="0" borderId="0" xfId="0" applyNumberFormat="1" applyFont="1" applyAlignment="1">
      <alignment vertical="center"/>
    </xf>
    <xf numFmtId="0" fontId="7" fillId="11" borderId="0" xfId="0" applyFont="1" applyFill="1" applyBorder="1" applyAlignment="1">
      <alignment horizontal="right" vertical="center" readingOrder="2"/>
    </xf>
    <xf numFmtId="0" fontId="7" fillId="11" borderId="0" xfId="0" applyFont="1" applyFill="1" applyBorder="1" applyAlignment="1">
      <alignment horizontal="right" vertical="center" wrapText="1" readingOrder="2"/>
    </xf>
    <xf numFmtId="2" fontId="7" fillId="11" borderId="0" xfId="0" applyNumberFormat="1" applyFont="1" applyFill="1" applyBorder="1" applyAlignment="1">
      <alignment horizontal="right" vertical="center"/>
    </xf>
    <xf numFmtId="0" fontId="12" fillId="0" borderId="8" xfId="0" applyFont="1" applyFill="1" applyBorder="1" applyAlignment="1">
      <alignment vertical="center" wrapText="1"/>
    </xf>
    <xf numFmtId="0" fontId="15" fillId="0" borderId="2" xfId="2" applyFont="1" applyFill="1" applyBorder="1" applyAlignment="1">
      <alignment horizontal="right" vertical="center" wrapText="1"/>
    </xf>
    <xf numFmtId="165" fontId="11" fillId="0" borderId="2" xfId="0" applyNumberFormat="1" applyFont="1" applyBorder="1" applyAlignment="1">
      <alignment horizontal="left" vertical="center" wrapText="1"/>
    </xf>
    <xf numFmtId="166" fontId="0" fillId="0" borderId="0" xfId="0" applyNumberFormat="1"/>
    <xf numFmtId="167" fontId="11" fillId="0" borderId="19" xfId="1" applyNumberFormat="1" applyFont="1" applyBorder="1" applyAlignment="1">
      <alignment vertical="center" wrapText="1"/>
    </xf>
    <xf numFmtId="168" fontId="17" fillId="7" borderId="6" xfId="3" applyNumberFormat="1" applyFont="1" applyFill="1" applyBorder="1" applyAlignment="1">
      <alignment vertical="center" wrapText="1"/>
    </xf>
    <xf numFmtId="2" fontId="7" fillId="7" borderId="15" xfId="1" applyNumberFormat="1" applyFont="1" applyFill="1" applyBorder="1" applyAlignment="1">
      <alignment vertical="center" wrapText="1"/>
    </xf>
    <xf numFmtId="0" fontId="4" fillId="6" borderId="14" xfId="0" applyFont="1" applyFill="1" applyBorder="1" applyAlignment="1">
      <alignment vertical="center" wrapText="1"/>
    </xf>
    <xf numFmtId="0" fontId="15" fillId="0" borderId="2" xfId="2" applyFont="1" applyFill="1" applyBorder="1" applyAlignment="1">
      <alignment horizontal="right" vertical="center" wrapText="1"/>
    </xf>
    <xf numFmtId="165" fontId="0" fillId="0" borderId="0" xfId="0" applyNumberFormat="1" applyAlignment="1">
      <alignment horizontal="center" vertical="center" wrapText="1"/>
    </xf>
    <xf numFmtId="167" fontId="17" fillId="7" borderId="15" xfId="1" applyNumberFormat="1" applyFont="1" applyFill="1" applyBorder="1" applyAlignment="1">
      <alignment horizontal="right" vertical="center"/>
    </xf>
    <xf numFmtId="167" fontId="7" fillId="0" borderId="12" xfId="1" applyNumberFormat="1" applyFont="1" applyBorder="1" applyAlignment="1">
      <alignment horizontal="right" vertical="center" wrapText="1"/>
    </xf>
    <xf numFmtId="167" fontId="7" fillId="0" borderId="2" xfId="1" applyNumberFormat="1" applyFont="1" applyBorder="1" applyAlignment="1">
      <alignment horizontal="right" vertical="center" wrapText="1"/>
    </xf>
    <xf numFmtId="165" fontId="0" fillId="0" borderId="0" xfId="0" applyNumberFormat="1" applyAlignment="1">
      <alignment horizontal="center" vertical="center"/>
    </xf>
    <xf numFmtId="165" fontId="11" fillId="0" borderId="10" xfId="0" applyNumberFormat="1" applyFont="1" applyBorder="1" applyAlignment="1">
      <alignment horizontal="right" vertical="center"/>
    </xf>
    <xf numFmtId="165" fontId="11" fillId="0" borderId="2" xfId="0" applyNumberFormat="1" applyFont="1" applyBorder="1" applyAlignment="1">
      <alignment horizontal="right" vertical="center"/>
    </xf>
    <xf numFmtId="165" fontId="11" fillId="0" borderId="13" xfId="0" applyNumberFormat="1" applyFont="1" applyBorder="1" applyAlignment="1">
      <alignment horizontal="right" vertical="center"/>
    </xf>
    <xf numFmtId="165" fontId="11" fillId="7" borderId="6" xfId="0" applyNumberFormat="1" applyFont="1" applyFill="1" applyBorder="1" applyAlignment="1">
      <alignment horizontal="right" vertical="center"/>
    </xf>
    <xf numFmtId="2" fontId="11" fillId="0" borderId="10" xfId="0" applyNumberFormat="1" applyFont="1" applyBorder="1" applyAlignment="1">
      <alignment horizontal="right" vertical="center"/>
    </xf>
    <xf numFmtId="2" fontId="11" fillId="0" borderId="2" xfId="0" applyNumberFormat="1" applyFont="1" applyBorder="1" applyAlignment="1">
      <alignment horizontal="right" vertical="center"/>
    </xf>
    <xf numFmtId="2" fontId="11" fillId="7" borderId="6" xfId="0" applyNumberFormat="1" applyFont="1" applyFill="1" applyBorder="1" applyAlignment="1">
      <alignment horizontal="right" vertical="center"/>
    </xf>
    <xf numFmtId="0" fontId="7" fillId="0" borderId="2" xfId="2" applyFont="1" applyFill="1" applyBorder="1" applyAlignment="1">
      <alignment horizontal="right" vertical="center" wrapText="1"/>
    </xf>
    <xf numFmtId="165" fontId="7" fillId="0" borderId="2" xfId="2" applyNumberFormat="1" applyFont="1" applyFill="1" applyBorder="1" applyAlignment="1">
      <alignment vertical="center" wrapText="1"/>
    </xf>
    <xf numFmtId="0" fontId="39" fillId="0" borderId="0" xfId="2" applyFont="1" applyFill="1" applyBorder="1"/>
    <xf numFmtId="0" fontId="4" fillId="6" borderId="9" xfId="0" applyFont="1" applyFill="1" applyBorder="1" applyAlignment="1">
      <alignment horizontal="right" vertical="center" wrapText="1"/>
    </xf>
    <xf numFmtId="0" fontId="4" fillId="6" borderId="9" xfId="0" applyFont="1" applyFill="1" applyBorder="1" applyAlignment="1">
      <alignment vertical="center" wrapText="1"/>
    </xf>
    <xf numFmtId="0" fontId="4" fillId="6" borderId="0" xfId="0" applyFont="1" applyFill="1" applyBorder="1" applyAlignment="1">
      <alignment horizontal="right" vertical="center" wrapText="1"/>
    </xf>
    <xf numFmtId="0" fontId="8" fillId="0" borderId="0" xfId="0" applyFont="1" applyFill="1" applyBorder="1" applyAlignment="1">
      <alignment horizontal="right" vertical="center" wrapText="1" readingOrder="2"/>
    </xf>
    <xf numFmtId="1" fontId="0" fillId="0" borderId="0" xfId="0" applyNumberFormat="1" applyFill="1" applyBorder="1"/>
    <xf numFmtId="1" fontId="26" fillId="0" borderId="0" xfId="2" applyNumberFormat="1" applyFont="1" applyFill="1" applyBorder="1" applyAlignment="1"/>
    <xf numFmtId="1" fontId="19" fillId="12" borderId="0" xfId="2" applyNumberFormat="1" applyFill="1" applyBorder="1" applyAlignment="1"/>
    <xf numFmtId="0" fontId="40" fillId="0" borderId="5" xfId="0" applyFont="1" applyBorder="1" applyAlignment="1">
      <alignment horizontal="right" vertical="center" wrapText="1"/>
    </xf>
    <xf numFmtId="0" fontId="8" fillId="0" borderId="0" xfId="0" applyFont="1" applyFill="1" applyBorder="1" applyAlignment="1">
      <alignment vertical="center" wrapText="1" readingOrder="2"/>
    </xf>
    <xf numFmtId="0" fontId="40" fillId="0" borderId="5" xfId="0" applyFont="1" applyBorder="1" applyAlignment="1">
      <alignment vertical="center" wrapText="1"/>
    </xf>
    <xf numFmtId="0" fontId="15" fillId="0" borderId="10" xfId="2" applyFont="1" applyFill="1" applyBorder="1" applyAlignment="1">
      <alignment horizontal="right" vertical="center" wrapText="1"/>
    </xf>
    <xf numFmtId="0" fontId="4" fillId="6" borderId="0" xfId="0" applyFont="1" applyFill="1" applyBorder="1" applyAlignment="1">
      <alignment horizontal="right" vertical="center" wrapText="1"/>
    </xf>
    <xf numFmtId="0" fontId="4" fillId="6" borderId="9" xfId="0" applyFont="1" applyFill="1" applyBorder="1" applyAlignment="1">
      <alignment horizontal="right" vertical="center" wrapText="1"/>
    </xf>
    <xf numFmtId="0" fontId="4" fillId="6" borderId="0" xfId="0" applyFont="1" applyFill="1" applyBorder="1" applyAlignment="1">
      <alignment horizontal="right" vertical="center" wrapText="1"/>
    </xf>
    <xf numFmtId="165" fontId="17" fillId="0" borderId="10" xfId="3" applyNumberFormat="1" applyFont="1" applyFill="1" applyBorder="1" applyAlignment="1">
      <alignment vertical="center" wrapText="1"/>
    </xf>
    <xf numFmtId="0" fontId="16" fillId="7" borderId="3" xfId="0" applyFont="1" applyFill="1" applyBorder="1" applyAlignment="1">
      <alignment horizontal="right" vertical="center" wrapText="1"/>
    </xf>
    <xf numFmtId="0" fontId="16" fillId="6" borderId="0" xfId="0" applyFont="1" applyFill="1" applyBorder="1" applyAlignment="1">
      <alignment horizontal="right" vertical="center" wrapText="1"/>
    </xf>
    <xf numFmtId="0" fontId="17" fillId="0" borderId="10" xfId="3" applyFont="1" applyFill="1" applyBorder="1" applyAlignment="1">
      <alignment vertical="center" wrapText="1"/>
    </xf>
    <xf numFmtId="1" fontId="17" fillId="0" borderId="10" xfId="3" applyNumberFormat="1" applyFont="1" applyFill="1" applyBorder="1" applyAlignment="1">
      <alignment vertical="center" wrapText="1"/>
    </xf>
    <xf numFmtId="0" fontId="15" fillId="0" borderId="10" xfId="2" applyFont="1" applyFill="1" applyBorder="1" applyAlignment="1">
      <alignment horizontal="right" vertical="center" wrapText="1"/>
    </xf>
    <xf numFmtId="0" fontId="4" fillId="6" borderId="0" xfId="0" applyFont="1" applyFill="1" applyBorder="1" applyAlignment="1">
      <alignment horizontal="right" vertical="center" wrapText="1"/>
    </xf>
    <xf numFmtId="0" fontId="8" fillId="0" borderId="0" xfId="0" applyFont="1" applyFill="1" applyBorder="1" applyAlignment="1">
      <alignment horizontal="right" vertical="center" readingOrder="2"/>
    </xf>
    <xf numFmtId="0" fontId="43" fillId="0" borderId="0" xfId="0" applyFont="1" applyBorder="1" applyAlignment="1">
      <alignment horizontal="right" vertical="center" wrapText="1"/>
    </xf>
    <xf numFmtId="0" fontId="10" fillId="0" borderId="0" xfId="0" applyFont="1" applyBorder="1" applyAlignment="1">
      <alignment horizontal="right" vertical="center"/>
    </xf>
    <xf numFmtId="0" fontId="1" fillId="0" borderId="0" xfId="0" applyFont="1" applyBorder="1" applyAlignment="1">
      <alignment vertical="center"/>
    </xf>
    <xf numFmtId="0" fontId="4" fillId="6" borderId="9" xfId="2" applyFont="1" applyFill="1" applyBorder="1" applyAlignment="1">
      <alignment horizontal="right" vertical="center" wrapText="1"/>
    </xf>
    <xf numFmtId="168" fontId="11" fillId="0" borderId="2" xfId="1" applyNumberFormat="1" applyFont="1" applyBorder="1" applyAlignment="1">
      <alignment horizontal="right" vertical="center"/>
    </xf>
    <xf numFmtId="168" fontId="17" fillId="0" borderId="0" xfId="3" applyNumberFormat="1" applyFont="1" applyFill="1" applyBorder="1" applyAlignment="1">
      <alignment vertical="center" wrapText="1"/>
    </xf>
    <xf numFmtId="168" fontId="11" fillId="0" borderId="3" xfId="1" applyNumberFormat="1" applyFont="1" applyBorder="1" applyAlignment="1">
      <alignment horizontal="right" vertical="center"/>
    </xf>
    <xf numFmtId="0" fontId="7" fillId="0" borderId="2" xfId="0" applyNumberFormat="1" applyFont="1" applyFill="1" applyBorder="1" applyAlignment="1">
      <alignment horizontal="left" vertical="center" wrapText="1"/>
    </xf>
    <xf numFmtId="0" fontId="7" fillId="0" borderId="2" xfId="0" applyFont="1" applyFill="1" applyBorder="1" applyAlignment="1">
      <alignment horizontal="left" vertical="center" wrapText="1" readingOrder="2"/>
    </xf>
    <xf numFmtId="0" fontId="7" fillId="0" borderId="11" xfId="0" applyNumberFormat="1" applyFont="1" applyFill="1" applyBorder="1" applyAlignment="1">
      <alignment horizontal="left" vertical="center" wrapText="1"/>
    </xf>
    <xf numFmtId="0" fontId="7" fillId="0" borderId="11" xfId="0" applyFont="1" applyFill="1" applyBorder="1" applyAlignment="1">
      <alignment horizontal="left" vertical="center" wrapText="1" readingOrder="2"/>
    </xf>
    <xf numFmtId="167" fontId="7" fillId="0" borderId="10" xfId="1" applyNumberFormat="1" applyFont="1" applyFill="1" applyBorder="1" applyAlignment="1">
      <alignment horizontal="left" vertical="center" wrapText="1"/>
    </xf>
    <xf numFmtId="167" fontId="11" fillId="0" borderId="6" xfId="0" applyNumberFormat="1" applyFont="1" applyBorder="1" applyAlignment="1">
      <alignment vertical="center" wrapText="1"/>
    </xf>
    <xf numFmtId="0" fontId="11" fillId="10" borderId="6" xfId="0" applyFont="1" applyFill="1" applyBorder="1" applyAlignment="1">
      <alignment vertical="center" wrapText="1"/>
    </xf>
    <xf numFmtId="0" fontId="11" fillId="0" borderId="6" xfId="0" applyFont="1" applyBorder="1" applyAlignment="1">
      <alignment vertical="center" wrapText="1"/>
    </xf>
    <xf numFmtId="165" fontId="11" fillId="0" borderId="10" xfId="0" applyNumberFormat="1" applyFont="1" applyBorder="1" applyAlignment="1">
      <alignment horizontal="left" vertical="center" wrapText="1" readingOrder="2"/>
    </xf>
    <xf numFmtId="165" fontId="11" fillId="0" borderId="2" xfId="0" applyNumberFormat="1" applyFont="1" applyBorder="1" applyAlignment="1">
      <alignment horizontal="left" vertical="center" wrapText="1" readingOrder="2"/>
    </xf>
    <xf numFmtId="165" fontId="11" fillId="0" borderId="3" xfId="0" applyNumberFormat="1" applyFont="1" applyBorder="1" applyAlignment="1">
      <alignment horizontal="left" vertical="center" wrapText="1"/>
    </xf>
    <xf numFmtId="165" fontId="11" fillId="0" borderId="11" xfId="0" applyNumberFormat="1" applyFont="1" applyBorder="1" applyAlignment="1">
      <alignment horizontal="left" vertical="center" wrapText="1" readingOrder="2"/>
    </xf>
    <xf numFmtId="165" fontId="11" fillId="0" borderId="10" xfId="0" applyNumberFormat="1" applyFont="1" applyBorder="1" applyAlignment="1">
      <alignment vertical="center" wrapText="1" readingOrder="2"/>
    </xf>
    <xf numFmtId="165" fontId="11" fillId="0" borderId="2" xfId="0" applyNumberFormat="1" applyFont="1" applyBorder="1" applyAlignment="1">
      <alignment vertical="center" wrapText="1" readingOrder="2"/>
    </xf>
    <xf numFmtId="165" fontId="11" fillId="0" borderId="3" xfId="0" applyNumberFormat="1" applyFont="1" applyBorder="1" applyAlignment="1">
      <alignment vertical="center" wrapText="1"/>
    </xf>
    <xf numFmtId="0" fontId="4" fillId="0" borderId="8" xfId="0" applyFont="1" applyBorder="1" applyAlignment="1">
      <alignment horizontal="center" vertical="center" wrapText="1" readingOrder="2"/>
    </xf>
    <xf numFmtId="0" fontId="31" fillId="0" borderId="0" xfId="0" applyFont="1" applyBorder="1" applyAlignment="1">
      <alignment horizontal="center" vertical="center" wrapText="1" readingOrder="2"/>
    </xf>
    <xf numFmtId="0" fontId="7" fillId="11" borderId="3" xfId="0" applyFont="1" applyFill="1" applyBorder="1" applyAlignment="1">
      <alignment horizontal="right" vertical="center" wrapText="1" readingOrder="2"/>
    </xf>
    <xf numFmtId="2" fontId="7" fillId="7" borderId="6" xfId="0" applyNumberFormat="1" applyFont="1" applyFill="1" applyBorder="1" applyAlignment="1">
      <alignment horizontal="right" vertical="center"/>
    </xf>
    <xf numFmtId="0" fontId="55" fillId="11" borderId="5" xfId="0" applyFont="1" applyFill="1" applyBorder="1" applyAlignment="1">
      <alignment horizontal="right" vertical="center" readingOrder="2"/>
    </xf>
    <xf numFmtId="0" fontId="55" fillId="11" borderId="5" xfId="0" applyFont="1" applyFill="1" applyBorder="1" applyAlignment="1">
      <alignment horizontal="right" vertical="center" wrapText="1" readingOrder="2"/>
    </xf>
    <xf numFmtId="0" fontId="7" fillId="11" borderId="3" xfId="0" applyFont="1" applyFill="1" applyBorder="1" applyAlignment="1">
      <alignment horizontal="right" vertical="center" readingOrder="2"/>
    </xf>
    <xf numFmtId="0" fontId="9" fillId="0" borderId="0" xfId="0" applyFont="1" applyAlignment="1">
      <alignment horizontal="right" vertical="top"/>
    </xf>
    <xf numFmtId="0" fontId="43" fillId="0" borderId="0" xfId="0" applyFont="1" applyAlignment="1">
      <alignment horizontal="center" vertical="center"/>
    </xf>
    <xf numFmtId="0" fontId="11" fillId="0" borderId="10" xfId="0" applyFont="1" applyBorder="1" applyAlignment="1">
      <alignment horizontal="right" vertical="center" readingOrder="2"/>
    </xf>
    <xf numFmtId="1" fontId="11" fillId="0" borderId="10" xfId="0" applyNumberFormat="1" applyFont="1" applyBorder="1" applyAlignment="1">
      <alignment vertical="center"/>
    </xf>
    <xf numFmtId="0" fontId="11" fillId="0" borderId="13" xfId="0" applyFont="1" applyBorder="1" applyAlignment="1">
      <alignment horizontal="right" vertical="center" readingOrder="2"/>
    </xf>
    <xf numFmtId="0" fontId="11" fillId="0" borderId="11" xfId="0" applyFont="1" applyBorder="1" applyAlignment="1">
      <alignment horizontal="right" vertical="center" readingOrder="2"/>
    </xf>
    <xf numFmtId="0" fontId="28" fillId="0" borderId="0" xfId="0" applyFont="1" applyFill="1"/>
    <xf numFmtId="1" fontId="11" fillId="0" borderId="12" xfId="0" applyNumberFormat="1" applyFont="1" applyBorder="1" applyAlignment="1">
      <alignment horizontal="right" vertical="center" readingOrder="2"/>
    </xf>
    <xf numFmtId="1" fontId="11" fillId="0" borderId="0" xfId="0" applyNumberFormat="1" applyFont="1" applyBorder="1" applyAlignment="1">
      <alignment horizontal="right" vertical="center" readingOrder="2"/>
    </xf>
    <xf numFmtId="1" fontId="11" fillId="0" borderId="10" xfId="0" applyNumberFormat="1" applyFont="1" applyBorder="1" applyAlignment="1">
      <alignment horizontal="right" vertical="center" readingOrder="2"/>
    </xf>
    <xf numFmtId="1" fontId="11" fillId="0" borderId="7" xfId="0" applyNumberFormat="1" applyFont="1" applyBorder="1" applyAlignment="1">
      <alignment horizontal="right" vertical="center" readingOrder="2"/>
    </xf>
    <xf numFmtId="1" fontId="11" fillId="0" borderId="8" xfId="0" applyNumberFormat="1" applyFont="1" applyBorder="1" applyAlignment="1">
      <alignment horizontal="right" vertical="center" readingOrder="2"/>
    </xf>
    <xf numFmtId="2" fontId="11" fillId="0" borderId="10" xfId="0" applyNumberFormat="1" applyFont="1" applyBorder="1" applyAlignment="1">
      <alignment vertical="center" wrapText="1" readingOrder="1"/>
    </xf>
    <xf numFmtId="2" fontId="11" fillId="0" borderId="2" xfId="0" applyNumberFormat="1" applyFont="1" applyBorder="1" applyAlignment="1">
      <alignment vertical="center" wrapText="1" readingOrder="1"/>
    </xf>
    <xf numFmtId="168" fontId="11" fillId="0" borderId="11" xfId="0" applyNumberFormat="1" applyFont="1" applyBorder="1" applyAlignment="1">
      <alignment vertical="center" wrapText="1" readingOrder="2"/>
    </xf>
    <xf numFmtId="0" fontId="10" fillId="0" borderId="13" xfId="0" applyFont="1" applyBorder="1" applyAlignment="1">
      <alignment horizontal="left" vertical="center" wrapText="1" readingOrder="2"/>
    </xf>
    <xf numFmtId="0" fontId="0" fillId="0" borderId="0" xfId="0" applyBorder="1" applyAlignment="1">
      <alignment horizontal="left"/>
    </xf>
    <xf numFmtId="0" fontId="10" fillId="0" borderId="13" xfId="0" applyFont="1" applyBorder="1" applyAlignment="1">
      <alignment vertical="center" wrapText="1" readingOrder="2"/>
    </xf>
    <xf numFmtId="165" fontId="10" fillId="0" borderId="10" xfId="0" applyNumberFormat="1" applyFont="1" applyBorder="1" applyAlignment="1">
      <alignment vertical="center" wrapText="1" readingOrder="1"/>
    </xf>
    <xf numFmtId="165" fontId="10" fillId="0" borderId="2" xfId="0" applyNumberFormat="1" applyFont="1" applyBorder="1" applyAlignment="1">
      <alignment vertical="center" wrapText="1" readingOrder="1"/>
    </xf>
    <xf numFmtId="165" fontId="10" fillId="0" borderId="13" xfId="0" applyNumberFormat="1" applyFont="1" applyBorder="1" applyAlignment="1">
      <alignment vertical="center" wrapText="1" readingOrder="2"/>
    </xf>
    <xf numFmtId="2" fontId="10" fillId="0" borderId="13" xfId="0" applyNumberFormat="1" applyFont="1" applyBorder="1" applyAlignment="1">
      <alignment vertical="center" wrapText="1" readingOrder="2"/>
    </xf>
    <xf numFmtId="2" fontId="10" fillId="0" borderId="10" xfId="0" applyNumberFormat="1" applyFont="1" applyBorder="1" applyAlignment="1">
      <alignment vertical="center" wrapText="1" readingOrder="1"/>
    </xf>
    <xf numFmtId="2" fontId="10" fillId="0" borderId="2" xfId="0" applyNumberFormat="1" applyFont="1" applyBorder="1" applyAlignment="1">
      <alignment vertical="center" wrapText="1" readingOrder="1"/>
    </xf>
    <xf numFmtId="165" fontId="10" fillId="0" borderId="2" xfId="0" applyNumberFormat="1" applyFont="1" applyBorder="1" applyAlignment="1">
      <alignment horizontal="right" vertical="center" wrapText="1" readingOrder="1"/>
    </xf>
    <xf numFmtId="165" fontId="10" fillId="0" borderId="10" xfId="0" applyNumberFormat="1" applyFont="1" applyBorder="1" applyAlignment="1">
      <alignment horizontal="right" vertical="center" wrapText="1" readingOrder="1"/>
    </xf>
    <xf numFmtId="165" fontId="10" fillId="0" borderId="13" xfId="0" applyNumberFormat="1" applyFont="1" applyBorder="1" applyAlignment="1">
      <alignment horizontal="left" vertical="center" wrapText="1" readingOrder="2"/>
    </xf>
    <xf numFmtId="165" fontId="10" fillId="0" borderId="12" xfId="0" applyNumberFormat="1" applyFont="1" applyBorder="1" applyAlignment="1">
      <alignment horizontal="left" vertical="center" wrapText="1" readingOrder="1"/>
    </xf>
    <xf numFmtId="165" fontId="10" fillId="0" borderId="2" xfId="0" applyNumberFormat="1" applyFont="1" applyBorder="1" applyAlignment="1">
      <alignment horizontal="left" vertical="center" wrapText="1" readingOrder="1"/>
    </xf>
    <xf numFmtId="165" fontId="10" fillId="0" borderId="10" xfId="0" applyNumberFormat="1" applyFont="1" applyBorder="1" applyAlignment="1">
      <alignment horizontal="left" vertical="center" wrapText="1" readingOrder="1"/>
    </xf>
    <xf numFmtId="165" fontId="10" fillId="0" borderId="11" xfId="0" applyNumberFormat="1" applyFont="1" applyBorder="1" applyAlignment="1">
      <alignment horizontal="left" vertical="center" wrapText="1" readingOrder="2"/>
    </xf>
    <xf numFmtId="0" fontId="6" fillId="0" borderId="5" xfId="0" applyFont="1" applyBorder="1" applyAlignment="1">
      <alignment horizontal="center" vertical="center"/>
    </xf>
    <xf numFmtId="0" fontId="8" fillId="0" borderId="0" xfId="0" applyFont="1" applyFill="1" applyBorder="1" applyAlignment="1">
      <alignment horizontal="right" vertical="center" wrapText="1"/>
    </xf>
    <xf numFmtId="0" fontId="6" fillId="0" borderId="5" xfId="0" applyFont="1" applyBorder="1" applyAlignment="1">
      <alignment horizontal="center" vertical="center"/>
    </xf>
    <xf numFmtId="0" fontId="15" fillId="6" borderId="1" xfId="0" applyFont="1" applyFill="1" applyBorder="1" applyAlignment="1">
      <alignment horizontal="right" vertical="center" wrapText="1" readingOrder="2"/>
    </xf>
    <xf numFmtId="0" fontId="11" fillId="0" borderId="0" xfId="0" applyFont="1" applyBorder="1" applyAlignment="1">
      <alignment vertical="center" wrapText="1"/>
    </xf>
    <xf numFmtId="10" fontId="11" fillId="0" borderId="12" xfId="0" applyNumberFormat="1" applyFont="1" applyBorder="1" applyAlignment="1">
      <alignment vertical="center" wrapText="1"/>
    </xf>
    <xf numFmtId="0" fontId="0" fillId="0" borderId="0" xfId="0"/>
    <xf numFmtId="0" fontId="11" fillId="0" borderId="9" xfId="1" applyNumberFormat="1" applyFont="1" applyFill="1" applyBorder="1" applyAlignment="1">
      <alignment horizontal="right" vertical="center" wrapText="1"/>
    </xf>
    <xf numFmtId="0" fontId="8" fillId="0" borderId="0" xfId="0" applyFont="1" applyFill="1" applyBorder="1" applyAlignment="1">
      <alignment horizontal="right" vertical="top" wrapText="1"/>
    </xf>
    <xf numFmtId="0" fontId="8" fillId="0" borderId="7" xfId="0" applyFont="1" applyFill="1" applyBorder="1" applyAlignment="1">
      <alignment horizontal="right" vertical="top" wrapText="1"/>
    </xf>
    <xf numFmtId="0" fontId="0" fillId="0" borderId="7" xfId="0" applyBorder="1"/>
    <xf numFmtId="0" fontId="0" fillId="0" borderId="0" xfId="0"/>
    <xf numFmtId="0" fontId="11" fillId="0" borderId="12" xfId="0" applyFont="1" applyBorder="1" applyAlignment="1">
      <alignment horizontal="right" vertical="center" wrapText="1"/>
    </xf>
    <xf numFmtId="10" fontId="11" fillId="0" borderId="0" xfId="0" applyNumberFormat="1" applyFont="1" applyBorder="1" applyAlignment="1">
      <alignment vertical="center" wrapText="1"/>
    </xf>
    <xf numFmtId="10" fontId="11" fillId="0" borderId="9" xfId="0" applyNumberFormat="1" applyFont="1" applyBorder="1" applyAlignment="1">
      <alignment vertical="center" wrapText="1"/>
    </xf>
    <xf numFmtId="0" fontId="10" fillId="0" borderId="0" xfId="0" applyFont="1" applyAlignment="1">
      <alignment horizontal="left" vertical="top"/>
    </xf>
    <xf numFmtId="10" fontId="11" fillId="0" borderId="11" xfId="0" applyNumberFormat="1" applyFont="1" applyBorder="1" applyAlignment="1">
      <alignment vertical="center" wrapText="1"/>
    </xf>
    <xf numFmtId="0" fontId="57" fillId="0" borderId="10" xfId="0" applyFont="1" applyBorder="1" applyAlignment="1">
      <alignment horizontal="justify" vertical="center" wrapText="1" readingOrder="2"/>
    </xf>
    <xf numFmtId="2" fontId="11" fillId="0" borderId="12" xfId="0" applyNumberFormat="1" applyFont="1" applyBorder="1" applyAlignment="1">
      <alignment vertical="center" wrapText="1"/>
    </xf>
    <xf numFmtId="43" fontId="11" fillId="0" borderId="12" xfId="1" applyFont="1" applyBorder="1" applyAlignment="1">
      <alignment vertical="center" wrapText="1"/>
    </xf>
    <xf numFmtId="167" fontId="11" fillId="0" borderId="12" xfId="1" applyNumberFormat="1" applyFont="1" applyBorder="1" applyAlignment="1">
      <alignment vertical="center" wrapText="1"/>
    </xf>
    <xf numFmtId="0" fontId="8" fillId="0" borderId="0" xfId="0" applyFont="1" applyFill="1" applyBorder="1" applyAlignment="1">
      <alignment horizontal="right" vertical="center" wrapText="1"/>
    </xf>
    <xf numFmtId="43" fontId="11" fillId="0" borderId="12" xfId="1" applyNumberFormat="1" applyFont="1" applyBorder="1" applyAlignment="1">
      <alignment vertical="center" wrapText="1"/>
    </xf>
    <xf numFmtId="2" fontId="11" fillId="0" borderId="0" xfId="0" applyNumberFormat="1" applyFont="1" applyFill="1" applyBorder="1" applyAlignment="1">
      <alignment vertical="center" wrapText="1" readingOrder="2"/>
    </xf>
    <xf numFmtId="168" fontId="11" fillId="0" borderId="8" xfId="1" applyNumberFormat="1" applyFont="1" applyBorder="1" applyAlignment="1">
      <alignment vertical="center" wrapText="1" readingOrder="1"/>
    </xf>
    <xf numFmtId="0" fontId="8" fillId="0" borderId="0" xfId="0" applyFont="1" applyFill="1" applyBorder="1" applyAlignment="1">
      <alignment horizontal="right" vertical="center" wrapText="1"/>
    </xf>
    <xf numFmtId="165" fontId="10" fillId="0" borderId="13" xfId="0" applyNumberFormat="1" applyFont="1" applyBorder="1" applyAlignment="1">
      <alignment horizontal="right" vertical="center" wrapText="1" readingOrder="2"/>
    </xf>
    <xf numFmtId="4" fontId="11" fillId="0" borderId="10" xfId="0" applyNumberFormat="1" applyFont="1" applyBorder="1" applyAlignment="1">
      <alignment vertical="center" wrapText="1" readingOrder="1"/>
    </xf>
    <xf numFmtId="4" fontId="11" fillId="0" borderId="2" xfId="0" applyNumberFormat="1" applyFont="1" applyBorder="1" applyAlignment="1">
      <alignment vertical="center" wrapText="1" readingOrder="1"/>
    </xf>
    <xf numFmtId="4" fontId="11" fillId="0" borderId="13" xfId="0" applyNumberFormat="1" applyFont="1" applyBorder="1" applyAlignment="1">
      <alignment vertical="center" wrapText="1" readingOrder="2"/>
    </xf>
    <xf numFmtId="0" fontId="10" fillId="0" borderId="2" xfId="0" applyFont="1" applyBorder="1" applyAlignment="1">
      <alignment horizontal="left" vertical="center" wrapText="1" readingOrder="1"/>
    </xf>
    <xf numFmtId="2" fontId="11" fillId="0" borderId="13" xfId="0" applyNumberFormat="1" applyFont="1" applyBorder="1" applyAlignment="1">
      <alignment vertical="center" wrapText="1" readingOrder="2"/>
    </xf>
    <xf numFmtId="0" fontId="8" fillId="0" borderId="7" xfId="0" applyFont="1" applyFill="1" applyBorder="1" applyAlignment="1">
      <alignment vertical="center" wrapText="1"/>
    </xf>
    <xf numFmtId="0" fontId="9" fillId="0" borderId="9" xfId="0" applyFont="1" applyBorder="1" applyAlignment="1">
      <alignment vertical="center" readingOrder="2"/>
    </xf>
    <xf numFmtId="0" fontId="9" fillId="0" borderId="0" xfId="0" applyFont="1" applyBorder="1" applyAlignment="1">
      <alignment horizontal="center" vertical="center"/>
    </xf>
    <xf numFmtId="0" fontId="9" fillId="0" borderId="9" xfId="0" applyFont="1" applyBorder="1" applyAlignment="1">
      <alignment horizontal="center" vertical="center"/>
    </xf>
    <xf numFmtId="0" fontId="57" fillId="0" borderId="5" xfId="0" applyFont="1" applyBorder="1" applyAlignment="1">
      <alignment horizontal="justify" vertical="center" wrapText="1" readingOrder="2"/>
    </xf>
    <xf numFmtId="0" fontId="4" fillId="6" borderId="9" xfId="0" applyFont="1" applyFill="1" applyBorder="1" applyAlignment="1">
      <alignment horizontal="right" vertical="center" wrapText="1"/>
    </xf>
    <xf numFmtId="0" fontId="4" fillId="6" borderId="7" xfId="0" applyFont="1" applyFill="1" applyBorder="1" applyAlignment="1">
      <alignment horizontal="right" vertical="center" wrapText="1"/>
    </xf>
    <xf numFmtId="0" fontId="9" fillId="0" borderId="5" xfId="0" applyFont="1" applyBorder="1" applyAlignment="1">
      <alignment vertical="center"/>
    </xf>
    <xf numFmtId="0" fontId="7" fillId="7" borderId="6" xfId="0" applyFont="1" applyFill="1" applyBorder="1" applyAlignment="1">
      <alignment horizontal="right" vertical="center" wrapText="1" readingOrder="2"/>
    </xf>
    <xf numFmtId="0" fontId="12" fillId="0" borderId="0" xfId="0" applyFont="1" applyAlignment="1">
      <alignment horizontal="center" vertical="center" wrapText="1"/>
    </xf>
    <xf numFmtId="0" fontId="12" fillId="0" borderId="0" xfId="0" applyFont="1" applyAlignment="1">
      <alignment horizontal="right" vertical="center" wrapText="1"/>
    </xf>
    <xf numFmtId="0" fontId="4" fillId="6" borderId="14" xfId="0" applyFont="1" applyFill="1" applyBorder="1" applyAlignment="1">
      <alignment horizontal="center" vertical="center"/>
    </xf>
    <xf numFmtId="0" fontId="8" fillId="0" borderId="0" xfId="0" applyFont="1" applyBorder="1" applyAlignment="1">
      <alignment horizontal="right" vertical="center" wrapText="1"/>
    </xf>
    <xf numFmtId="0" fontId="4" fillId="0" borderId="10" xfId="0" applyFont="1" applyBorder="1" applyAlignment="1">
      <alignment horizontal="right" vertical="center" wrapText="1"/>
    </xf>
    <xf numFmtId="0" fontId="4" fillId="0" borderId="2" xfId="0" applyFont="1" applyFill="1" applyBorder="1" applyAlignment="1">
      <alignment horizontal="right" vertical="center" wrapText="1"/>
    </xf>
    <xf numFmtId="0" fontId="4" fillId="0" borderId="2" xfId="0" applyFont="1" applyBorder="1" applyAlignment="1">
      <alignment horizontal="right" vertical="center" wrapText="1"/>
    </xf>
    <xf numFmtId="0" fontId="4" fillId="0" borderId="13" xfId="0" applyFont="1" applyFill="1" applyBorder="1" applyAlignment="1">
      <alignment horizontal="right" vertical="center" wrapText="1"/>
    </xf>
    <xf numFmtId="0" fontId="6" fillId="0" borderId="9" xfId="0" applyFont="1" applyBorder="1" applyAlignment="1">
      <alignment horizontal="right" vertical="center" wrapText="1"/>
    </xf>
    <xf numFmtId="0" fontId="6" fillId="0" borderId="0" xfId="0" applyFont="1" applyBorder="1" applyAlignment="1">
      <alignment horizontal="right" vertical="center" wrapText="1"/>
    </xf>
    <xf numFmtId="0" fontId="2" fillId="0" borderId="0" xfId="0" applyFont="1" applyAlignment="1">
      <alignment horizontal="center" vertical="center" readingOrder="2"/>
    </xf>
    <xf numFmtId="0" fontId="2" fillId="0" borderId="0" xfId="0" applyFont="1" applyBorder="1" applyAlignment="1">
      <alignment horizontal="right" vertical="center"/>
    </xf>
    <xf numFmtId="0" fontId="9" fillId="0" borderId="0" xfId="0" applyFont="1" applyBorder="1" applyAlignment="1">
      <alignment vertical="center"/>
    </xf>
    <xf numFmtId="0" fontId="9" fillId="0" borderId="0" xfId="0" applyFont="1" applyBorder="1" applyAlignment="1">
      <alignment horizontal="right" vertical="center" wrapText="1" readingOrder="2"/>
    </xf>
    <xf numFmtId="0" fontId="9" fillId="0" borderId="0" xfId="0" applyFont="1" applyAlignment="1">
      <alignment horizontal="right" vertical="top"/>
    </xf>
    <xf numFmtId="0" fontId="15" fillId="0" borderId="2" xfId="2" applyFont="1" applyFill="1" applyBorder="1" applyAlignment="1">
      <alignment horizontal="right" vertical="center" wrapText="1"/>
    </xf>
    <xf numFmtId="0" fontId="8" fillId="0" borderId="5" xfId="0" applyFont="1" applyBorder="1" applyAlignment="1">
      <alignment vertical="center"/>
    </xf>
    <xf numFmtId="0" fontId="15" fillId="7" borderId="6" xfId="2" applyFont="1" applyFill="1" applyBorder="1" applyAlignment="1">
      <alignment horizontal="right" vertical="center"/>
    </xf>
    <xf numFmtId="0" fontId="9" fillId="0" borderId="0" xfId="0" applyFont="1" applyBorder="1" applyAlignment="1">
      <alignment horizontal="right" vertical="center"/>
    </xf>
    <xf numFmtId="0" fontId="15" fillId="0" borderId="13" xfId="2" applyFont="1" applyFill="1" applyBorder="1" applyAlignment="1">
      <alignment horizontal="right" vertical="center" wrapText="1"/>
    </xf>
    <xf numFmtId="0" fontId="9" fillId="0" borderId="0" xfId="0" applyFont="1" applyAlignment="1">
      <alignment horizontal="right" vertical="top" wrapText="1"/>
    </xf>
    <xf numFmtId="0" fontId="2" fillId="0" borderId="0" xfId="0" applyFont="1" applyAlignment="1">
      <alignment horizontal="center" vertical="center"/>
    </xf>
    <xf numFmtId="0" fontId="10" fillId="8" borderId="14" xfId="0" applyFont="1" applyFill="1" applyBorder="1" applyAlignment="1">
      <alignment horizontal="right" vertical="center"/>
    </xf>
    <xf numFmtId="0" fontId="10" fillId="8" borderId="13" xfId="0" applyFont="1" applyFill="1" applyBorder="1" applyAlignment="1">
      <alignment horizontal="right" vertical="center"/>
    </xf>
    <xf numFmtId="0" fontId="12" fillId="0" borderId="0" xfId="0" applyFont="1" applyBorder="1" applyAlignment="1">
      <alignment vertical="center" wrapText="1"/>
    </xf>
    <xf numFmtId="0" fontId="10" fillId="8" borderId="9" xfId="0" applyFont="1" applyFill="1" applyBorder="1" applyAlignment="1">
      <alignment horizontal="right" vertical="center"/>
    </xf>
    <xf numFmtId="0" fontId="10" fillId="8" borderId="7" xfId="0" applyFont="1" applyFill="1" applyBorder="1" applyAlignment="1">
      <alignment horizontal="right" vertical="center"/>
    </xf>
    <xf numFmtId="0" fontId="10" fillId="8" borderId="9" xfId="0" applyFont="1" applyFill="1" applyBorder="1" applyAlignment="1">
      <alignment horizontal="center" vertical="center"/>
    </xf>
    <xf numFmtId="0" fontId="15" fillId="0" borderId="10" xfId="2" applyFont="1" applyFill="1" applyBorder="1" applyAlignment="1">
      <alignment horizontal="right" vertical="center" wrapText="1"/>
    </xf>
    <xf numFmtId="0" fontId="4" fillId="0" borderId="0" xfId="0" applyFont="1" applyBorder="1" applyAlignment="1">
      <alignment horizontal="right" vertical="center" wrapText="1"/>
    </xf>
    <xf numFmtId="0" fontId="4" fillId="0" borderId="7" xfId="0" applyFont="1" applyBorder="1" applyAlignment="1">
      <alignment horizontal="right" vertical="center" wrapText="1"/>
    </xf>
    <xf numFmtId="0" fontId="4" fillId="0" borderId="13" xfId="0" applyFont="1" applyBorder="1" applyAlignment="1">
      <alignment horizontal="right" vertical="center" wrapText="1"/>
    </xf>
    <xf numFmtId="0" fontId="4" fillId="0" borderId="5" xfId="0" applyFont="1" applyBorder="1" applyAlignment="1">
      <alignment horizontal="right" vertical="center" wrapText="1"/>
    </xf>
    <xf numFmtId="0" fontId="7" fillId="0" borderId="10" xfId="0" applyFont="1" applyBorder="1" applyAlignment="1">
      <alignment horizontal="right" vertical="center" wrapText="1"/>
    </xf>
    <xf numFmtId="0" fontId="7" fillId="0" borderId="0" xfId="0" applyFont="1" applyBorder="1" applyAlignment="1">
      <alignment horizontal="right" vertical="center" wrapText="1"/>
    </xf>
    <xf numFmtId="0" fontId="7" fillId="0" borderId="11" xfId="0" applyFont="1" applyBorder="1" applyAlignment="1">
      <alignment horizontal="right" vertical="center" wrapText="1"/>
    </xf>
    <xf numFmtId="0" fontId="6" fillId="0" borderId="5" xfId="0" applyFont="1" applyBorder="1" applyAlignment="1">
      <alignment horizontal="center" vertical="center"/>
    </xf>
    <xf numFmtId="0" fontId="12" fillId="0" borderId="0" xfId="0" applyFont="1" applyFill="1" applyBorder="1" applyAlignment="1">
      <alignment horizontal="right" vertical="center" wrapText="1"/>
    </xf>
    <xf numFmtId="0" fontId="12" fillId="0" borderId="8" xfId="0" applyFont="1" applyFill="1" applyBorder="1" applyAlignment="1">
      <alignment horizontal="right" vertical="center" wrapText="1"/>
    </xf>
    <xf numFmtId="0" fontId="4" fillId="6" borderId="14" xfId="0" applyFont="1" applyFill="1" applyBorder="1" applyAlignment="1">
      <alignment horizontal="center" vertical="center" wrapText="1"/>
    </xf>
    <xf numFmtId="0" fontId="8" fillId="0" borderId="9" xfId="0" applyFont="1" applyFill="1" applyBorder="1" applyAlignment="1">
      <alignment horizontal="right" vertical="center" wrapText="1"/>
    </xf>
    <xf numFmtId="0" fontId="8" fillId="3" borderId="0" xfId="0" applyFont="1" applyFill="1" applyBorder="1" applyAlignment="1">
      <alignment horizontal="right" vertical="center" wrapText="1"/>
    </xf>
    <xf numFmtId="0" fontId="4" fillId="6" borderId="9" xfId="0" applyFont="1" applyFill="1" applyBorder="1" applyAlignment="1">
      <alignment vertical="center" wrapText="1"/>
    </xf>
    <xf numFmtId="0" fontId="4" fillId="6" borderId="7" xfId="0" applyFont="1" applyFill="1" applyBorder="1" applyAlignment="1">
      <alignment vertical="center" wrapText="1"/>
    </xf>
    <xf numFmtId="0" fontId="4" fillId="6" borderId="9" xfId="0" applyFont="1" applyFill="1" applyBorder="1" applyAlignment="1">
      <alignment horizontal="center" vertical="center" wrapText="1"/>
    </xf>
    <xf numFmtId="0" fontId="14" fillId="0" borderId="0" xfId="0" applyFont="1" applyFill="1" applyBorder="1" applyAlignment="1">
      <alignment horizontal="right" vertical="center" wrapText="1" readingOrder="2"/>
    </xf>
    <xf numFmtId="0" fontId="12" fillId="0" borderId="0" xfId="0" applyFont="1" applyFill="1" applyAlignment="1">
      <alignment horizontal="center" vertical="center" wrapText="1"/>
    </xf>
    <xf numFmtId="0" fontId="8" fillId="6" borderId="9"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6" fillId="0" borderId="0" xfId="0" applyFont="1" applyBorder="1" applyAlignment="1">
      <alignment horizontal="center" vertical="center"/>
    </xf>
    <xf numFmtId="0" fontId="8" fillId="0" borderId="5" xfId="0" applyFont="1" applyBorder="1" applyAlignment="1">
      <alignment horizontal="right" vertical="center"/>
    </xf>
    <xf numFmtId="0" fontId="4" fillId="0" borderId="6" xfId="0" applyFont="1" applyBorder="1" applyAlignment="1">
      <alignment horizontal="right" vertical="center" wrapText="1"/>
    </xf>
    <xf numFmtId="0" fontId="4" fillId="0" borderId="5" xfId="0" applyFont="1" applyBorder="1" applyAlignment="1">
      <alignment horizontal="right" vertical="center"/>
    </xf>
    <xf numFmtId="0" fontId="4" fillId="0" borderId="0" xfId="0" applyFont="1" applyBorder="1" applyAlignment="1">
      <alignment horizontal="right" vertical="center"/>
    </xf>
    <xf numFmtId="0" fontId="4" fillId="0" borderId="7" xfId="0" applyFont="1" applyBorder="1" applyAlignment="1">
      <alignment horizontal="right" vertical="center"/>
    </xf>
    <xf numFmtId="0" fontId="12" fillId="3" borderId="0" xfId="0" applyFont="1" applyFill="1" applyAlignment="1">
      <alignment horizontal="center" vertical="center" wrapText="1"/>
    </xf>
    <xf numFmtId="0" fontId="4" fillId="6" borderId="0" xfId="0" applyFont="1" applyFill="1" applyBorder="1" applyAlignment="1">
      <alignment horizontal="right" vertical="center" wrapText="1"/>
    </xf>
    <xf numFmtId="0" fontId="8" fillId="6" borderId="9" xfId="0" applyFont="1" applyFill="1" applyBorder="1" applyAlignment="1">
      <alignment horizontal="right" vertical="center" wrapText="1"/>
    </xf>
    <xf numFmtId="0" fontId="8" fillId="6" borderId="7" xfId="0" applyFont="1" applyFill="1" applyBorder="1" applyAlignment="1">
      <alignment horizontal="right" vertical="center" wrapText="1"/>
    </xf>
    <xf numFmtId="0" fontId="14" fillId="0" borderId="9" xfId="0" applyFont="1" applyFill="1" applyBorder="1" applyAlignment="1">
      <alignment horizontal="right" vertical="center" wrapText="1" readingOrder="2"/>
    </xf>
    <xf numFmtId="0" fontId="15" fillId="0" borderId="5" xfId="0" applyFont="1" applyBorder="1" applyAlignment="1">
      <alignment horizontal="right" vertical="center" wrapText="1"/>
    </xf>
    <xf numFmtId="0" fontId="33" fillId="0" borderId="0" xfId="0" applyFont="1" applyFill="1" applyBorder="1" applyAlignment="1">
      <alignment horizontal="center" vertical="center" wrapText="1"/>
    </xf>
    <xf numFmtId="0" fontId="33" fillId="0" borderId="8" xfId="0" applyFont="1" applyFill="1" applyBorder="1" applyAlignment="1">
      <alignment horizontal="right" vertical="center"/>
    </xf>
    <xf numFmtId="0" fontId="8" fillId="0" borderId="0" xfId="0" applyFont="1" applyFill="1" applyBorder="1" applyAlignment="1">
      <alignment horizontal="right" vertical="center" wrapText="1"/>
    </xf>
    <xf numFmtId="0" fontId="8" fillId="0" borderId="7" xfId="0" applyFont="1" applyFill="1" applyBorder="1" applyAlignment="1">
      <alignment horizontal="right" vertical="center" wrapText="1" readingOrder="2"/>
    </xf>
    <xf numFmtId="0" fontId="15" fillId="0" borderId="9" xfId="2" applyFont="1" applyFill="1" applyBorder="1" applyAlignment="1">
      <alignment horizontal="right" vertical="center" wrapText="1"/>
    </xf>
    <xf numFmtId="0" fontId="8" fillId="0" borderId="0" xfId="0" applyFont="1" applyFill="1" applyBorder="1" applyAlignment="1">
      <alignment horizontal="right" vertical="center" wrapText="1" readingOrder="2"/>
    </xf>
    <xf numFmtId="0" fontId="34" fillId="0" borderId="0" xfId="0" applyFont="1" applyFill="1" applyAlignment="1">
      <alignment horizontal="center"/>
    </xf>
    <xf numFmtId="0" fontId="33" fillId="0" borderId="0" xfId="0" applyFont="1" applyBorder="1" applyAlignment="1">
      <alignment horizontal="center" vertical="center" wrapText="1"/>
    </xf>
    <xf numFmtId="0" fontId="33" fillId="0" borderId="0" xfId="0" applyFont="1" applyAlignment="1">
      <alignment horizontal="right" vertical="center"/>
    </xf>
    <xf numFmtId="0" fontId="4" fillId="6" borderId="9" xfId="0" applyFont="1" applyFill="1" applyBorder="1" applyAlignment="1">
      <alignment horizontal="right" wrapText="1"/>
    </xf>
    <xf numFmtId="0" fontId="4" fillId="6" borderId="0" xfId="0" applyFont="1" applyFill="1" applyBorder="1" applyAlignment="1">
      <alignment horizontal="right" wrapText="1"/>
    </xf>
    <xf numFmtId="0" fontId="33" fillId="0" borderId="0" xfId="0" applyFont="1" applyAlignment="1">
      <alignment vertical="center"/>
    </xf>
    <xf numFmtId="0" fontId="37" fillId="0" borderId="0" xfId="0" applyFont="1" applyFill="1" applyAlignment="1">
      <alignment horizontal="center" vertical="center"/>
    </xf>
    <xf numFmtId="0" fontId="15" fillId="0" borderId="5" xfId="0" applyFont="1" applyBorder="1" applyAlignment="1">
      <alignment vertical="center" wrapText="1" readingOrder="2"/>
    </xf>
    <xf numFmtId="0" fontId="4" fillId="6" borderId="9" xfId="2" applyFont="1" applyFill="1" applyBorder="1" applyAlignment="1">
      <alignment horizontal="right" vertical="center" wrapText="1" readingOrder="2"/>
    </xf>
    <xf numFmtId="0" fontId="4" fillId="6" borderId="7" xfId="2" applyFont="1" applyFill="1" applyBorder="1" applyAlignment="1">
      <alignment horizontal="right" vertical="center" wrapText="1" readingOrder="2"/>
    </xf>
    <xf numFmtId="0" fontId="4" fillId="6" borderId="14" xfId="2" applyFont="1" applyFill="1" applyBorder="1" applyAlignment="1">
      <alignment horizontal="center" vertical="center" wrapText="1" readingOrder="2"/>
    </xf>
    <xf numFmtId="0" fontId="33" fillId="0" borderId="0" xfId="2" applyFont="1" applyBorder="1" applyAlignment="1">
      <alignment horizontal="center" vertical="center" wrapText="1" readingOrder="2"/>
    </xf>
    <xf numFmtId="0" fontId="4" fillId="6" borderId="9" xfId="2" applyFont="1" applyFill="1" applyBorder="1" applyAlignment="1">
      <alignment vertical="center" wrapText="1" readingOrder="2"/>
    </xf>
    <xf numFmtId="0" fontId="4" fillId="6" borderId="7" xfId="2" applyFont="1" applyFill="1" applyBorder="1" applyAlignment="1">
      <alignment vertical="center" wrapText="1" readingOrder="2"/>
    </xf>
    <xf numFmtId="0" fontId="8" fillId="6" borderId="14" xfId="2" applyFont="1" applyFill="1" applyBorder="1" applyAlignment="1">
      <alignment horizontal="center" vertical="center" wrapText="1" readingOrder="2"/>
    </xf>
    <xf numFmtId="0" fontId="8" fillId="6" borderId="9" xfId="2" applyFont="1" applyFill="1" applyBorder="1" applyAlignment="1">
      <alignment horizontal="center" vertical="center" wrapText="1" readingOrder="2"/>
    </xf>
    <xf numFmtId="0" fontId="16" fillId="0" borderId="9" xfId="2" applyFont="1" applyFill="1" applyBorder="1" applyAlignment="1">
      <alignment horizontal="right" vertical="center" wrapText="1" readingOrder="2"/>
    </xf>
    <xf numFmtId="0" fontId="18" fillId="0" borderId="0" xfId="2" applyFont="1" applyFill="1" applyBorder="1" applyAlignment="1">
      <alignment horizontal="center" vertical="center" wrapText="1"/>
    </xf>
    <xf numFmtId="0" fontId="33" fillId="3" borderId="0" xfId="2" applyFont="1" applyFill="1" applyBorder="1" applyAlignment="1">
      <alignment horizontal="center" vertical="center" wrapText="1"/>
    </xf>
    <xf numFmtId="0" fontId="34" fillId="0" borderId="0" xfId="2" applyFont="1" applyBorder="1" applyAlignment="1">
      <alignment horizontal="center" vertical="center"/>
    </xf>
    <xf numFmtId="0" fontId="34" fillId="0" borderId="0" xfId="2" applyFont="1" applyBorder="1" applyAlignment="1">
      <alignment horizontal="center" vertical="center" wrapText="1"/>
    </xf>
    <xf numFmtId="0" fontId="16" fillId="0" borderId="0" xfId="2" applyFont="1" applyFill="1" applyBorder="1" applyAlignment="1">
      <alignment horizontal="right" vertical="center" wrapText="1" readingOrder="2"/>
    </xf>
    <xf numFmtId="0" fontId="38" fillId="0" borderId="0" xfId="2" applyFont="1" applyFill="1" applyBorder="1" applyAlignment="1">
      <alignment horizontal="right" vertical="center" readingOrder="2"/>
    </xf>
    <xf numFmtId="0" fontId="33" fillId="0" borderId="0" xfId="2" applyFont="1" applyBorder="1" applyAlignment="1">
      <alignment horizontal="center" vertical="center" wrapText="1"/>
    </xf>
    <xf numFmtId="0" fontId="33" fillId="0" borderId="0" xfId="2" applyFont="1" applyAlignment="1">
      <alignment horizontal="right" vertical="center"/>
    </xf>
    <xf numFmtId="0" fontId="4" fillId="6" borderId="9" xfId="2" applyFont="1" applyFill="1" applyBorder="1" applyAlignment="1">
      <alignment horizontal="right" vertical="center" wrapText="1"/>
    </xf>
    <xf numFmtId="0" fontId="4" fillId="6" borderId="7" xfId="2" applyFont="1" applyFill="1" applyBorder="1" applyAlignment="1">
      <alignment horizontal="right" vertical="center" wrapText="1"/>
    </xf>
    <xf numFmtId="0" fontId="4" fillId="6" borderId="9" xfId="2" applyFont="1" applyFill="1" applyBorder="1" applyAlignment="1">
      <alignment horizontal="center" vertical="center" wrapText="1"/>
    </xf>
    <xf numFmtId="0" fontId="4" fillId="6" borderId="7" xfId="2" applyFont="1" applyFill="1" applyBorder="1" applyAlignment="1">
      <alignment horizontal="center" vertical="center" wrapText="1"/>
    </xf>
    <xf numFmtId="0" fontId="33" fillId="3" borderId="0" xfId="3" applyFont="1" applyFill="1" applyBorder="1" applyAlignment="1">
      <alignment horizontal="center" vertical="center" wrapText="1"/>
    </xf>
    <xf numFmtId="0" fontId="33" fillId="3" borderId="0" xfId="3" applyFont="1" applyFill="1" applyAlignment="1">
      <alignment vertical="center"/>
    </xf>
    <xf numFmtId="0" fontId="4" fillId="6" borderId="9" xfId="3" applyFont="1" applyFill="1" applyBorder="1" applyAlignment="1">
      <alignment horizontal="right" vertical="center" wrapText="1"/>
    </xf>
    <xf numFmtId="0" fontId="4" fillId="6" borderId="7" xfId="3" applyFont="1" applyFill="1" applyBorder="1" applyAlignment="1">
      <alignment horizontal="right" vertical="center" wrapText="1"/>
    </xf>
    <xf numFmtId="0" fontId="4" fillId="6" borderId="9" xfId="3" applyFont="1" applyFill="1" applyBorder="1" applyAlignment="1">
      <alignment horizontal="center" vertical="center" wrapText="1"/>
    </xf>
    <xf numFmtId="0" fontId="4" fillId="6" borderId="14" xfId="3" applyFont="1" applyFill="1" applyBorder="1" applyAlignment="1">
      <alignment horizontal="center" vertical="center" wrapText="1"/>
    </xf>
    <xf numFmtId="0" fontId="4" fillId="6" borderId="7" xfId="3" applyFont="1" applyFill="1" applyBorder="1" applyAlignment="1">
      <alignment horizontal="center" vertical="center" wrapText="1"/>
    </xf>
    <xf numFmtId="0" fontId="16" fillId="0" borderId="0" xfId="0" applyFont="1" applyBorder="1" applyAlignment="1">
      <alignment horizontal="right" vertical="center" wrapText="1" readingOrder="2"/>
    </xf>
    <xf numFmtId="0" fontId="15" fillId="0" borderId="5" xfId="0" applyFont="1" applyBorder="1" applyAlignment="1">
      <alignment horizontal="center" vertical="center" wrapText="1"/>
    </xf>
    <xf numFmtId="0" fontId="33" fillId="3" borderId="8" xfId="3" applyFont="1" applyFill="1" applyBorder="1" applyAlignment="1">
      <alignment horizontal="right" vertical="center"/>
    </xf>
    <xf numFmtId="0" fontId="8" fillId="0" borderId="0" xfId="0" applyFont="1" applyBorder="1" applyAlignment="1">
      <alignment horizontal="right" vertical="center" wrapText="1" readingOrder="2"/>
    </xf>
    <xf numFmtId="0" fontId="8" fillId="5" borderId="0" xfId="0" applyFont="1" applyFill="1" applyBorder="1" applyAlignment="1">
      <alignment horizontal="justify" vertical="center" wrapText="1"/>
    </xf>
    <xf numFmtId="0" fontId="12" fillId="5" borderId="0" xfId="0" applyFont="1" applyFill="1" applyBorder="1" applyAlignment="1">
      <alignment horizontal="center" vertical="center" wrapText="1"/>
    </xf>
    <xf numFmtId="0" fontId="31" fillId="6" borderId="5" xfId="0" applyFont="1" applyFill="1" applyBorder="1" applyAlignment="1">
      <alignment horizontal="right" vertical="center" wrapText="1"/>
    </xf>
    <xf numFmtId="0" fontId="31" fillId="6" borderId="0" xfId="0" applyFont="1" applyFill="1" applyBorder="1" applyAlignment="1">
      <alignment horizontal="right" vertical="center" wrapText="1"/>
    </xf>
    <xf numFmtId="0" fontId="31" fillId="6" borderId="7" xfId="0" applyFont="1" applyFill="1" applyBorder="1" applyAlignment="1">
      <alignment horizontal="right" vertical="center" wrapText="1"/>
    </xf>
    <xf numFmtId="0" fontId="8" fillId="7" borderId="2" xfId="0" applyFont="1" applyFill="1" applyBorder="1" applyAlignment="1">
      <alignment horizontal="center" vertical="center" wrapText="1"/>
    </xf>
    <xf numFmtId="166" fontId="51" fillId="7" borderId="2" xfId="1" applyNumberFormat="1" applyFont="1" applyFill="1" applyBorder="1" applyAlignment="1">
      <alignment horizontal="center" vertical="center" wrapText="1"/>
    </xf>
    <xf numFmtId="0" fontId="4" fillId="6" borderId="10" xfId="0" applyFont="1" applyFill="1" applyBorder="1" applyAlignment="1">
      <alignment horizontal="center" vertical="center" wrapText="1"/>
    </xf>
    <xf numFmtId="0" fontId="4" fillId="6" borderId="5" xfId="0" applyFont="1" applyFill="1" applyBorder="1" applyAlignment="1">
      <alignment horizontal="center" vertical="center" wrapText="1"/>
    </xf>
    <xf numFmtId="166" fontId="51" fillId="7" borderId="3" xfId="1" applyNumberFormat="1" applyFont="1" applyFill="1" applyBorder="1" applyAlignment="1">
      <alignment horizontal="center" vertical="center" wrapText="1"/>
    </xf>
    <xf numFmtId="0" fontId="8" fillId="6" borderId="0"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8" fillId="5" borderId="0" xfId="0" applyFont="1" applyFill="1" applyBorder="1" applyAlignment="1">
      <alignment horizontal="right" vertical="center" wrapText="1" readingOrder="2"/>
    </xf>
    <xf numFmtId="0" fontId="8" fillId="5" borderId="0" xfId="0" applyFont="1" applyFill="1" applyBorder="1" applyAlignment="1">
      <alignment horizontal="right" vertical="center" wrapText="1"/>
    </xf>
    <xf numFmtId="0" fontId="12" fillId="5" borderId="0" xfId="0" applyFont="1" applyFill="1" applyAlignment="1">
      <alignment horizontal="center" vertical="center" wrapText="1"/>
    </xf>
    <xf numFmtId="0" fontId="12" fillId="5" borderId="0" xfId="0" applyFont="1" applyFill="1" applyAlignment="1">
      <alignment horizontal="right" vertical="center" wrapText="1"/>
    </xf>
    <xf numFmtId="0" fontId="5" fillId="0" borderId="2" xfId="0" applyFont="1" applyFill="1" applyBorder="1" applyAlignment="1">
      <alignment horizontal="right" vertical="center" wrapText="1"/>
    </xf>
    <xf numFmtId="0" fontId="5" fillId="0" borderId="2" xfId="0" applyFont="1" applyFill="1" applyBorder="1" applyAlignment="1">
      <alignment horizontal="justify" vertical="center" wrapText="1"/>
    </xf>
    <xf numFmtId="0" fontId="5" fillId="0" borderId="2" xfId="0" applyFont="1" applyFill="1" applyBorder="1" applyAlignment="1">
      <alignment vertical="center" wrapText="1"/>
    </xf>
    <xf numFmtId="0" fontId="5" fillId="0" borderId="11" xfId="0" applyFont="1" applyFill="1" applyBorder="1" applyAlignment="1">
      <alignment vertical="center" wrapText="1"/>
    </xf>
    <xf numFmtId="0" fontId="5" fillId="0" borderId="10" xfId="0" applyFont="1" applyFill="1" applyBorder="1" applyAlignment="1">
      <alignment horizontal="justify" vertical="center" wrapText="1"/>
    </xf>
    <xf numFmtId="0" fontId="8" fillId="0" borderId="9" xfId="0" applyFont="1" applyBorder="1" applyAlignment="1">
      <alignment horizontal="right" vertical="center" readingOrder="2"/>
    </xf>
    <xf numFmtId="0" fontId="8" fillId="0" borderId="0" xfId="0" applyFont="1" applyFill="1" applyBorder="1" applyAlignment="1">
      <alignment horizontal="right" vertical="center" readingOrder="2"/>
    </xf>
    <xf numFmtId="0" fontId="12" fillId="0" borderId="0" xfId="0" applyFont="1" applyBorder="1" applyAlignment="1">
      <alignment horizontal="center" vertical="center" wrapText="1"/>
    </xf>
    <xf numFmtId="0" fontId="4" fillId="6" borderId="0" xfId="0" applyFont="1" applyFill="1" applyBorder="1" applyAlignment="1">
      <alignment vertical="center" wrapText="1"/>
    </xf>
    <xf numFmtId="168" fontId="4" fillId="6" borderId="9" xfId="0" applyNumberFormat="1" applyFont="1" applyFill="1" applyBorder="1" applyAlignment="1">
      <alignment horizontal="center" vertical="center" wrapText="1"/>
    </xf>
    <xf numFmtId="168" fontId="4" fillId="6" borderId="0" xfId="0" applyNumberFormat="1" applyFont="1" applyFill="1" applyBorder="1" applyAlignment="1">
      <alignment horizontal="center" vertical="center" wrapText="1"/>
    </xf>
    <xf numFmtId="167" fontId="11" fillId="0" borderId="2" xfId="1" applyNumberFormat="1" applyFont="1" applyBorder="1" applyAlignment="1">
      <alignment horizontal="right" vertical="center" wrapText="1"/>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166" fontId="11" fillId="0" borderId="2" xfId="1" applyNumberFormat="1" applyFont="1" applyBorder="1" applyAlignment="1">
      <alignment horizontal="right" vertical="center" wrapText="1"/>
    </xf>
    <xf numFmtId="166" fontId="11" fillId="0" borderId="3" xfId="1" applyNumberFormat="1" applyFont="1" applyBorder="1" applyAlignment="1">
      <alignment horizontal="right" vertical="center" wrapText="1"/>
    </xf>
    <xf numFmtId="166" fontId="11" fillId="0" borderId="5" xfId="1" applyNumberFormat="1" applyFont="1" applyBorder="1" applyAlignment="1">
      <alignment horizontal="center" vertical="center" wrapText="1"/>
    </xf>
    <xf numFmtId="166" fontId="11" fillId="0" borderId="0" xfId="1" applyNumberFormat="1" applyFont="1" applyBorder="1" applyAlignment="1">
      <alignment horizontal="center" vertical="center" wrapText="1"/>
    </xf>
    <xf numFmtId="166" fontId="59" fillId="0" borderId="2" xfId="1" applyNumberFormat="1" applyFont="1" applyBorder="1" applyAlignment="1">
      <alignment horizontal="right" vertical="center" wrapText="1"/>
    </xf>
    <xf numFmtId="168" fontId="4" fillId="6" borderId="9" xfId="0" applyNumberFormat="1" applyFont="1" applyFill="1" applyBorder="1" applyAlignment="1">
      <alignment horizontal="right" vertical="center" wrapText="1"/>
    </xf>
    <xf numFmtId="168" fontId="4" fillId="6" borderId="0" xfId="0" applyNumberFormat="1" applyFont="1" applyFill="1" applyBorder="1" applyAlignment="1">
      <alignment horizontal="right" vertical="center" wrapText="1"/>
    </xf>
    <xf numFmtId="0" fontId="10" fillId="0" borderId="10" xfId="0" applyFont="1" applyFill="1" applyBorder="1" applyAlignment="1">
      <alignment horizontal="right" vertical="center" wrapText="1"/>
    </xf>
    <xf numFmtId="166" fontId="11" fillId="0" borderId="10" xfId="1" applyNumberFormat="1" applyFont="1" applyBorder="1" applyAlignment="1">
      <alignment horizontal="right" vertical="center" wrapText="1"/>
    </xf>
    <xf numFmtId="166" fontId="11" fillId="0" borderId="10" xfId="1" applyNumberFormat="1" applyFont="1" applyBorder="1" applyAlignment="1">
      <alignment horizontal="center" vertical="center" wrapText="1"/>
    </xf>
    <xf numFmtId="166" fontId="11" fillId="0" borderId="2" xfId="1" applyNumberFormat="1" applyFont="1" applyBorder="1" applyAlignment="1">
      <alignment horizontal="center" vertical="center" wrapText="1"/>
    </xf>
    <xf numFmtId="166" fontId="11" fillId="0" borderId="11" xfId="1" applyNumberFormat="1" applyFont="1" applyBorder="1" applyAlignment="1">
      <alignment horizontal="center" vertical="center" wrapText="1"/>
    </xf>
    <xf numFmtId="165" fontId="11" fillId="0" borderId="10" xfId="0" applyNumberFormat="1" applyFont="1" applyBorder="1" applyAlignment="1">
      <alignment horizontal="right" vertical="center" wrapText="1"/>
    </xf>
    <xf numFmtId="165" fontId="11" fillId="0" borderId="2" xfId="0" applyNumberFormat="1" applyFont="1" applyBorder="1" applyAlignment="1">
      <alignment horizontal="right" vertical="center" wrapText="1"/>
    </xf>
    <xf numFmtId="165" fontId="11" fillId="0" borderId="2" xfId="0" applyNumberFormat="1" applyFont="1" applyBorder="1" applyAlignment="1">
      <alignment horizontal="right" vertical="center" wrapText="1" readingOrder="2"/>
    </xf>
    <xf numFmtId="0" fontId="43" fillId="0" borderId="7" xfId="0" applyFont="1" applyBorder="1" applyAlignment="1">
      <alignment horizontal="right" vertical="top" wrapText="1"/>
    </xf>
    <xf numFmtId="0" fontId="43" fillId="0" borderId="5" xfId="0" applyFont="1" applyBorder="1" applyAlignment="1">
      <alignment horizontal="right" vertical="center" wrapText="1"/>
    </xf>
    <xf numFmtId="0" fontId="43" fillId="0" borderId="0" xfId="0" applyFont="1" applyBorder="1" applyAlignment="1">
      <alignment horizontal="right" vertical="center" wrapText="1"/>
    </xf>
    <xf numFmtId="0" fontId="10" fillId="10" borderId="6" xfId="0" applyFont="1" applyFill="1" applyBorder="1" applyAlignment="1">
      <alignment horizontal="right" vertical="center" wrapText="1"/>
    </xf>
    <xf numFmtId="0" fontId="10" fillId="10" borderId="19" xfId="0" applyFont="1" applyFill="1" applyBorder="1" applyAlignment="1">
      <alignment horizontal="right" vertical="center" wrapText="1"/>
    </xf>
    <xf numFmtId="0" fontId="48" fillId="0" borderId="8" xfId="0" applyFont="1" applyBorder="1" applyAlignment="1">
      <alignment horizontal="right" vertical="center" wrapText="1"/>
    </xf>
    <xf numFmtId="0" fontId="43" fillId="0" borderId="9" xfId="0" applyFont="1" applyBorder="1" applyAlignment="1">
      <alignment horizontal="right" vertical="center" wrapText="1"/>
    </xf>
    <xf numFmtId="0" fontId="11" fillId="0" borderId="2" xfId="0" applyFont="1" applyBorder="1" applyAlignment="1">
      <alignment horizontal="right" vertical="center" wrapText="1"/>
    </xf>
    <xf numFmtId="0" fontId="11" fillId="0" borderId="3" xfId="0" applyFont="1" applyBorder="1" applyAlignment="1">
      <alignment horizontal="right" vertical="center" wrapText="1"/>
    </xf>
    <xf numFmtId="0" fontId="10" fillId="0" borderId="11" xfId="0" applyFont="1" applyFill="1" applyBorder="1" applyAlignment="1">
      <alignment horizontal="right" vertical="center" wrapText="1"/>
    </xf>
    <xf numFmtId="166" fontId="11" fillId="0" borderId="11" xfId="1" applyNumberFormat="1" applyFont="1" applyBorder="1" applyAlignment="1">
      <alignment horizontal="right" vertical="center" wrapText="1"/>
    </xf>
    <xf numFmtId="0" fontId="11" fillId="0" borderId="10" xfId="0" applyFont="1" applyBorder="1" applyAlignment="1">
      <alignment horizontal="right" vertical="center" wrapText="1"/>
    </xf>
    <xf numFmtId="165" fontId="59" fillId="0" borderId="2" xfId="0" applyNumberFormat="1" applyFont="1" applyBorder="1" applyAlignment="1">
      <alignment horizontal="right" vertical="center" wrapText="1"/>
    </xf>
    <xf numFmtId="165" fontId="11" fillId="0" borderId="3" xfId="0" applyNumberFormat="1" applyFont="1" applyBorder="1" applyAlignment="1">
      <alignment horizontal="right" vertical="center" wrapText="1"/>
    </xf>
    <xf numFmtId="166" fontId="11" fillId="0" borderId="17" xfId="1" applyNumberFormat="1" applyFont="1" applyBorder="1" applyAlignment="1">
      <alignment horizontal="center" vertical="center" wrapText="1"/>
    </xf>
    <xf numFmtId="165" fontId="11" fillId="0" borderId="11" xfId="0" applyNumberFormat="1" applyFont="1" applyBorder="1" applyAlignment="1">
      <alignment horizontal="right" vertical="center" wrapText="1"/>
    </xf>
    <xf numFmtId="0" fontId="4" fillId="6" borderId="9" xfId="0" applyFont="1" applyFill="1" applyBorder="1" applyAlignment="1">
      <alignment horizontal="right" vertical="center"/>
    </xf>
    <xf numFmtId="0" fontId="4" fillId="6" borderId="7" xfId="0" applyFont="1" applyFill="1" applyBorder="1" applyAlignment="1">
      <alignment horizontal="right" vertical="center"/>
    </xf>
    <xf numFmtId="0" fontId="12" fillId="0" borderId="8" xfId="0" applyFont="1" applyFill="1" applyBorder="1" applyAlignment="1">
      <alignment horizontal="center" vertical="center" wrapText="1"/>
    </xf>
    <xf numFmtId="0" fontId="40" fillId="0" borderId="5" xfId="0" applyFont="1" applyBorder="1" applyAlignment="1">
      <alignment horizontal="right" vertical="center" wrapText="1"/>
    </xf>
    <xf numFmtId="0" fontId="52" fillId="0" borderId="0" xfId="0" applyFont="1" applyAlignment="1">
      <alignment horizontal="center" vertical="center"/>
    </xf>
    <xf numFmtId="0" fontId="40" fillId="6" borderId="10" xfId="0" applyFont="1" applyFill="1" applyBorder="1" applyAlignment="1">
      <alignment horizontal="center" vertical="center"/>
    </xf>
    <xf numFmtId="0" fontId="55" fillId="6" borderId="5" xfId="0" applyFont="1" applyFill="1" applyBorder="1" applyAlignment="1">
      <alignment horizontal="right" vertical="center" readingOrder="2"/>
    </xf>
    <xf numFmtId="0" fontId="55" fillId="6" borderId="7" xfId="0" applyFont="1" applyFill="1" applyBorder="1" applyAlignment="1">
      <alignment horizontal="right" vertical="center" readingOrder="2"/>
    </xf>
    <xf numFmtId="0" fontId="7" fillId="7" borderId="6" xfId="0" applyFont="1" applyFill="1" applyBorder="1" applyAlignment="1">
      <alignment horizontal="center" vertical="center" readingOrder="2"/>
    </xf>
    <xf numFmtId="0" fontId="53" fillId="0" borderId="0" xfId="0" applyFont="1" applyAlignment="1">
      <alignment horizontal="center" vertical="center"/>
    </xf>
    <xf numFmtId="0" fontId="53" fillId="0" borderId="0" xfId="0" applyFont="1" applyBorder="1" applyAlignment="1">
      <alignment horizontal="center" vertical="center"/>
    </xf>
    <xf numFmtId="0" fontId="12" fillId="0" borderId="0" xfId="0" applyFont="1" applyFill="1" applyAlignment="1">
      <alignment horizontal="right" vertical="center" wrapText="1"/>
    </xf>
    <xf numFmtId="0" fontId="53" fillId="0" borderId="9" xfId="0" applyFont="1" applyFill="1" applyBorder="1" applyAlignment="1">
      <alignment horizontal="center" vertical="center" readingOrder="2"/>
    </xf>
    <xf numFmtId="0" fontId="55" fillId="11" borderId="10" xfId="0" applyFont="1" applyFill="1" applyBorder="1" applyAlignment="1">
      <alignment horizontal="right" vertical="center" readingOrder="2"/>
    </xf>
    <xf numFmtId="0" fontId="55" fillId="11" borderId="2" xfId="0" applyFont="1" applyFill="1" applyBorder="1" applyAlignment="1">
      <alignment horizontal="right" vertical="center" readingOrder="2"/>
    </xf>
    <xf numFmtId="0" fontId="55" fillId="11" borderId="3" xfId="0" applyFont="1" applyFill="1" applyBorder="1" applyAlignment="1">
      <alignment horizontal="right" vertical="center" readingOrder="2"/>
    </xf>
    <xf numFmtId="0" fontId="11" fillId="0" borderId="20" xfId="1" applyNumberFormat="1" applyFont="1" applyFill="1" applyBorder="1" applyAlignment="1">
      <alignment horizontal="right" vertical="center" wrapText="1"/>
    </xf>
    <xf numFmtId="0" fontId="11" fillId="0" borderId="22" xfId="1" applyNumberFormat="1" applyFont="1" applyFill="1" applyBorder="1" applyAlignment="1">
      <alignment horizontal="right" vertical="center" wrapText="1"/>
    </xf>
    <xf numFmtId="0" fontId="11" fillId="0" borderId="21" xfId="1" applyNumberFormat="1" applyFont="1" applyFill="1" applyBorder="1" applyAlignment="1">
      <alignment horizontal="right" vertical="center" wrapText="1"/>
    </xf>
    <xf numFmtId="0" fontId="11" fillId="0" borderId="23" xfId="1" applyNumberFormat="1" applyFont="1" applyFill="1" applyBorder="1" applyAlignment="1">
      <alignment horizontal="right" vertical="center" wrapText="1"/>
    </xf>
    <xf numFmtId="0" fontId="9" fillId="0" borderId="9" xfId="0" applyFont="1" applyBorder="1" applyAlignment="1">
      <alignment horizontal="right" vertical="center" readingOrder="2"/>
    </xf>
    <xf numFmtId="43" fontId="11" fillId="0" borderId="20" xfId="1" applyFont="1" applyFill="1" applyBorder="1" applyAlignment="1">
      <alignment horizontal="right" vertical="center" wrapText="1"/>
    </xf>
    <xf numFmtId="0" fontId="10" fillId="0" borderId="3" xfId="0" applyFont="1" applyBorder="1" applyAlignment="1">
      <alignment horizontal="right" vertical="center" wrapText="1"/>
    </xf>
    <xf numFmtId="0" fontId="10" fillId="0" borderId="12" xfId="0" applyFont="1" applyBorder="1" applyAlignment="1">
      <alignment horizontal="right" vertical="center" wrapText="1"/>
    </xf>
    <xf numFmtId="0" fontId="15" fillId="6" borderId="1" xfId="0" applyFont="1" applyFill="1" applyBorder="1" applyAlignment="1">
      <alignment horizontal="right" vertical="center" wrapText="1" readingOrder="2"/>
    </xf>
    <xf numFmtId="0" fontId="10" fillId="0" borderId="8" xfId="0" applyFont="1" applyBorder="1" applyAlignment="1">
      <alignment horizontal="right" vertical="center" wrapText="1"/>
    </xf>
    <xf numFmtId="0" fontId="10" fillId="0" borderId="0" xfId="0" applyFont="1" applyBorder="1" applyAlignment="1">
      <alignment horizontal="right" vertical="center" wrapText="1"/>
    </xf>
    <xf numFmtId="0" fontId="8" fillId="0" borderId="7" xfId="0" applyFont="1" applyFill="1" applyBorder="1" applyAlignment="1">
      <alignment horizontal="right" vertical="top" wrapText="1"/>
    </xf>
    <xf numFmtId="0" fontId="10" fillId="0" borderId="2" xfId="0" applyFont="1" applyBorder="1" applyAlignment="1">
      <alignment horizontal="right" vertical="center"/>
    </xf>
    <xf numFmtId="0" fontId="8" fillId="0" borderId="9" xfId="0" applyFont="1" applyFill="1" applyBorder="1" applyAlignment="1">
      <alignment horizontal="right" vertical="center" wrapText="1" readingOrder="2"/>
    </xf>
    <xf numFmtId="0" fontId="18" fillId="0" borderId="0" xfId="0" applyFont="1" applyBorder="1" applyAlignment="1">
      <alignment horizontal="right" vertical="center" wrapText="1"/>
    </xf>
    <xf numFmtId="0" fontId="9" fillId="0" borderId="0" xfId="0" applyFont="1" applyBorder="1" applyAlignment="1">
      <alignment horizontal="right" vertical="center" readingOrder="2"/>
    </xf>
    <xf numFmtId="0" fontId="9" fillId="0" borderId="5" xfId="0" applyFont="1" applyBorder="1" applyAlignment="1">
      <alignment horizontal="right" vertical="center" wrapText="1"/>
    </xf>
    <xf numFmtId="0" fontId="10" fillId="0" borderId="2" xfId="0" applyFont="1" applyBorder="1" applyAlignment="1">
      <alignment horizontal="right" vertical="center" wrapText="1" readingOrder="2"/>
    </xf>
    <xf numFmtId="0" fontId="10" fillId="0" borderId="11" xfId="0" applyFont="1" applyBorder="1" applyAlignment="1">
      <alignment horizontal="right" vertical="center" wrapText="1" readingOrder="2"/>
    </xf>
    <xf numFmtId="0" fontId="15" fillId="0" borderId="0" xfId="0" applyFont="1" applyFill="1" applyBorder="1" applyAlignment="1">
      <alignment vertical="center" wrapText="1"/>
    </xf>
    <xf numFmtId="0" fontId="11" fillId="0" borderId="2" xfId="1" applyNumberFormat="1" applyFont="1" applyFill="1" applyBorder="1" applyAlignment="1">
      <alignment horizontal="right" vertical="center" wrapText="1"/>
    </xf>
    <xf numFmtId="0" fontId="11" fillId="0" borderId="11" xfId="1" applyNumberFormat="1" applyFont="1" applyFill="1" applyBorder="1" applyAlignment="1">
      <alignment horizontal="right" vertical="center" wrapText="1"/>
    </xf>
    <xf numFmtId="0" fontId="2" fillId="0" borderId="0" xfId="0" applyFont="1" applyFill="1" applyBorder="1" applyAlignment="1">
      <alignment horizontal="right" vertical="center" wrapText="1"/>
    </xf>
    <xf numFmtId="0" fontId="2" fillId="0" borderId="0" xfId="0" applyFont="1" applyFill="1" applyBorder="1" applyAlignment="1">
      <alignment horizontal="center" vertical="center" wrapText="1"/>
    </xf>
    <xf numFmtId="0" fontId="10" fillId="0" borderId="5" xfId="0" applyFont="1" applyFill="1" applyBorder="1" applyAlignment="1">
      <alignment horizontal="right" vertical="center" wrapText="1"/>
    </xf>
    <xf numFmtId="0" fontId="8" fillId="0" borderId="0" xfId="0" applyFont="1" applyFill="1" applyBorder="1" applyAlignment="1">
      <alignment horizontal="right" wrapText="1"/>
    </xf>
    <xf numFmtId="0" fontId="9" fillId="0" borderId="7" xfId="0" applyFont="1" applyFill="1" applyBorder="1" applyAlignment="1">
      <alignment horizontal="right" vertical="center" wrapText="1"/>
    </xf>
    <xf numFmtId="3" fontId="6" fillId="0" borderId="0" xfId="0" applyNumberFormat="1" applyFont="1" applyFill="1" applyBorder="1" applyAlignment="1">
      <alignment horizontal="right" vertical="center" wrapText="1" readingOrder="2"/>
    </xf>
    <xf numFmtId="0" fontId="7" fillId="0" borderId="12" xfId="0" applyFont="1" applyFill="1" applyBorder="1" applyAlignment="1">
      <alignment horizontal="center" vertical="center"/>
    </xf>
  </cellXfs>
  <cellStyles count="4">
    <cellStyle name="Comma" xfId="1" builtinId="3"/>
    <cellStyle name="Normal" xfId="0" builtinId="0"/>
    <cellStyle name="Normal_جداول الإخراج  الماء 23-3-2011" xfId="2"/>
    <cellStyle name="Normal_جداول الإخراج  الماء 24-3-2011"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AG25"/>
  <sheetViews>
    <sheetView rightToLeft="1" view="pageBreakPreview" zoomScaleSheetLayoutView="100" workbookViewId="0">
      <selection activeCell="L5" sqref="L5"/>
    </sheetView>
  </sheetViews>
  <sheetFormatPr defaultRowHeight="15"/>
  <cols>
    <col min="1" max="1" width="6.140625" customWidth="1"/>
    <col min="2" max="2" width="10.85546875" customWidth="1"/>
    <col min="3" max="14" width="7.140625" customWidth="1"/>
    <col min="15" max="16" width="9.85546875" customWidth="1"/>
    <col min="18" max="18" width="11.5703125" style="25" bestFit="1" customWidth="1"/>
    <col min="19" max="19" width="9.42578125" style="25" bestFit="1" customWidth="1"/>
    <col min="20" max="20" width="10.42578125" style="25" bestFit="1" customWidth="1"/>
    <col min="21" max="30" width="9.42578125" style="25" bestFit="1" customWidth="1"/>
    <col min="31" max="31" width="16.28515625" style="25" bestFit="1" customWidth="1"/>
    <col min="32" max="32" width="12.42578125" style="407" bestFit="1" customWidth="1"/>
    <col min="33" max="33" width="9.85546875" style="407" bestFit="1" customWidth="1"/>
  </cols>
  <sheetData>
    <row r="1" spans="1:33" ht="35.25" customHeight="1">
      <c r="A1" s="1072" t="s">
        <v>517</v>
      </c>
      <c r="B1" s="1072"/>
      <c r="C1" s="1072"/>
      <c r="D1" s="1072"/>
      <c r="E1" s="1072"/>
      <c r="F1" s="1072"/>
      <c r="G1" s="1072"/>
      <c r="H1" s="1072"/>
      <c r="I1" s="1072"/>
      <c r="J1" s="1072"/>
      <c r="K1" s="1072"/>
      <c r="L1" s="1072"/>
      <c r="M1" s="1072"/>
      <c r="N1" s="1072"/>
      <c r="O1" s="1072"/>
      <c r="P1" s="1072"/>
    </row>
    <row r="2" spans="1:33" ht="22.5" customHeight="1" thickBot="1">
      <c r="A2" s="1073" t="s">
        <v>333</v>
      </c>
      <c r="B2" s="1073"/>
      <c r="C2" s="1073"/>
      <c r="D2" s="1073"/>
      <c r="E2" s="1073"/>
      <c r="F2" s="1073"/>
      <c r="G2" s="1073"/>
      <c r="H2" s="1073"/>
      <c r="I2" s="1073"/>
      <c r="J2" s="1073"/>
      <c r="K2" s="1073"/>
      <c r="L2" s="1073"/>
      <c r="M2" s="1073"/>
      <c r="N2" s="1073"/>
      <c r="O2" s="1073"/>
      <c r="P2" s="1073"/>
    </row>
    <row r="3" spans="1:33" ht="36.75" customHeight="1" thickTop="1">
      <c r="A3" s="1068" t="s">
        <v>297</v>
      </c>
      <c r="B3" s="1068"/>
      <c r="C3" s="1074" t="s">
        <v>208</v>
      </c>
      <c r="D3" s="1074"/>
      <c r="E3" s="1074"/>
      <c r="F3" s="1074"/>
      <c r="G3" s="1074"/>
      <c r="H3" s="1074"/>
      <c r="I3" s="1074"/>
      <c r="J3" s="1074"/>
      <c r="K3" s="1074"/>
      <c r="L3" s="1074"/>
      <c r="M3" s="1074"/>
      <c r="N3" s="1074"/>
      <c r="O3" s="525" t="s">
        <v>298</v>
      </c>
      <c r="P3" s="525" t="s">
        <v>300</v>
      </c>
      <c r="AE3" s="406" t="s">
        <v>329</v>
      </c>
    </row>
    <row r="4" spans="1:33" ht="27" customHeight="1">
      <c r="A4" s="1069"/>
      <c r="B4" s="1069"/>
      <c r="C4" s="164" t="s">
        <v>6</v>
      </c>
      <c r="D4" s="153" t="s">
        <v>7</v>
      </c>
      <c r="E4" s="153" t="s">
        <v>8</v>
      </c>
      <c r="F4" s="153" t="s">
        <v>9</v>
      </c>
      <c r="G4" s="153" t="s">
        <v>10</v>
      </c>
      <c r="H4" s="153" t="s">
        <v>11</v>
      </c>
      <c r="I4" s="153" t="s">
        <v>12</v>
      </c>
      <c r="J4" s="153" t="s">
        <v>13</v>
      </c>
      <c r="K4" s="153" t="s">
        <v>14</v>
      </c>
      <c r="L4" s="153" t="s">
        <v>15</v>
      </c>
      <c r="M4" s="153" t="s">
        <v>16</v>
      </c>
      <c r="N4" s="153" t="s">
        <v>17</v>
      </c>
      <c r="O4" s="526" t="s">
        <v>299</v>
      </c>
      <c r="P4" s="526" t="s">
        <v>301</v>
      </c>
      <c r="R4" s="496" t="s">
        <v>6</v>
      </c>
      <c r="S4" s="496" t="s">
        <v>7</v>
      </c>
      <c r="T4" s="496" t="s">
        <v>8</v>
      </c>
      <c r="U4" s="496" t="s">
        <v>9</v>
      </c>
      <c r="V4" s="496" t="s">
        <v>10</v>
      </c>
      <c r="W4" s="496" t="s">
        <v>11</v>
      </c>
      <c r="X4" s="496" t="s">
        <v>12</v>
      </c>
      <c r="Y4" s="496" t="s">
        <v>13</v>
      </c>
      <c r="Z4" s="496" t="s">
        <v>14</v>
      </c>
      <c r="AA4" s="496" t="s">
        <v>15</v>
      </c>
      <c r="AB4" s="496" t="s">
        <v>16</v>
      </c>
      <c r="AC4" s="496" t="s">
        <v>17</v>
      </c>
      <c r="AD4" s="25" t="s">
        <v>192</v>
      </c>
      <c r="AE4" s="21" t="s">
        <v>193</v>
      </c>
    </row>
    <row r="5" spans="1:33" ht="39" customHeight="1">
      <c r="A5" s="1076" t="s">
        <v>175</v>
      </c>
      <c r="B5" s="1076"/>
      <c r="C5" s="712">
        <v>195</v>
      </c>
      <c r="D5" s="712">
        <v>190</v>
      </c>
      <c r="E5" s="712">
        <v>209</v>
      </c>
      <c r="F5" s="712">
        <v>213</v>
      </c>
      <c r="G5" s="712">
        <v>238</v>
      </c>
      <c r="H5" s="712">
        <v>374</v>
      </c>
      <c r="I5" s="712">
        <v>332</v>
      </c>
      <c r="J5" s="712">
        <v>321</v>
      </c>
      <c r="K5" s="712">
        <v>243</v>
      </c>
      <c r="L5" s="712">
        <v>319</v>
      </c>
      <c r="M5" s="712">
        <v>425</v>
      </c>
      <c r="N5" s="712">
        <v>378</v>
      </c>
      <c r="O5" s="939">
        <v>286.39999999999998</v>
      </c>
      <c r="P5" s="943">
        <f>(O5*60*60*24*365)/1000000000</f>
        <v>9.0319103999999992</v>
      </c>
      <c r="R5" s="712">
        <v>195</v>
      </c>
      <c r="S5" s="712">
        <v>190</v>
      </c>
      <c r="T5" s="712">
        <v>209</v>
      </c>
      <c r="U5" s="712">
        <v>213</v>
      </c>
      <c r="V5" s="712">
        <v>238</v>
      </c>
      <c r="W5" s="712">
        <v>374</v>
      </c>
      <c r="X5" s="712">
        <v>332</v>
      </c>
      <c r="Y5" s="712">
        <v>321</v>
      </c>
      <c r="Z5" s="712">
        <v>243</v>
      </c>
      <c r="AA5" s="712">
        <v>319</v>
      </c>
      <c r="AB5" s="712">
        <v>425</v>
      </c>
      <c r="AC5" s="712">
        <v>378</v>
      </c>
      <c r="AD5" s="710">
        <f t="shared" ref="AD5:AD11" si="0">SUM(R5:AC5)</f>
        <v>3437</v>
      </c>
      <c r="AE5" s="938">
        <f>AD5/12</f>
        <v>286.41666666666669</v>
      </c>
      <c r="AF5" s="628">
        <f>AE5*60*60*24*365</f>
        <v>9032436000</v>
      </c>
      <c r="AG5" s="408">
        <f t="shared" ref="AG5:AG11" si="1">AF5/1000000000</f>
        <v>9.0324360000000006</v>
      </c>
    </row>
    <row r="6" spans="1:33" ht="39" customHeight="1">
      <c r="A6" s="1077" t="s">
        <v>352</v>
      </c>
      <c r="B6" s="1077"/>
      <c r="C6" s="713">
        <v>50</v>
      </c>
      <c r="D6" s="713">
        <v>60</v>
      </c>
      <c r="E6" s="713">
        <v>115</v>
      </c>
      <c r="F6" s="713">
        <v>140</v>
      </c>
      <c r="G6" s="713">
        <v>150</v>
      </c>
      <c r="H6" s="713">
        <v>250</v>
      </c>
      <c r="I6" s="713">
        <v>530</v>
      </c>
      <c r="J6" s="713">
        <v>480</v>
      </c>
      <c r="K6" s="713">
        <v>230</v>
      </c>
      <c r="L6" s="713">
        <v>100</v>
      </c>
      <c r="M6" s="713">
        <v>60</v>
      </c>
      <c r="N6" s="713">
        <v>50</v>
      </c>
      <c r="O6" s="940">
        <f>SUM(C6:N6)/12</f>
        <v>184.58333333333334</v>
      </c>
      <c r="P6" s="944">
        <f t="shared" ref="P6:P11" si="2">(O6*60*60*24*365)/1000000000</f>
        <v>5.8210199999999999</v>
      </c>
      <c r="R6" s="713">
        <v>50</v>
      </c>
      <c r="S6" s="713">
        <v>60</v>
      </c>
      <c r="T6" s="713">
        <v>115</v>
      </c>
      <c r="U6" s="713">
        <v>140</v>
      </c>
      <c r="V6" s="713">
        <v>150</v>
      </c>
      <c r="W6" s="713">
        <v>250</v>
      </c>
      <c r="X6" s="713">
        <v>530</v>
      </c>
      <c r="Y6" s="713">
        <v>480</v>
      </c>
      <c r="Z6" s="713">
        <v>230</v>
      </c>
      <c r="AA6" s="713">
        <v>100</v>
      </c>
      <c r="AB6" s="713">
        <v>60</v>
      </c>
      <c r="AC6" s="713">
        <v>50</v>
      </c>
      <c r="AD6" s="498">
        <f t="shared" si="0"/>
        <v>2215</v>
      </c>
      <c r="AE6" s="938">
        <v>185</v>
      </c>
      <c r="AF6" s="407">
        <f t="shared" ref="AF6:AF8" si="3">AE6*60*60*24*365</f>
        <v>5834160000</v>
      </c>
      <c r="AG6" s="408">
        <f t="shared" si="1"/>
        <v>5.8341599999999998</v>
      </c>
    </row>
    <row r="7" spans="1:33" ht="39" customHeight="1">
      <c r="A7" s="1078" t="s">
        <v>194</v>
      </c>
      <c r="B7" s="1078"/>
      <c r="C7" s="713">
        <v>6</v>
      </c>
      <c r="D7" s="713">
        <v>9</v>
      </c>
      <c r="E7" s="713">
        <v>41</v>
      </c>
      <c r="F7" s="713">
        <v>137</v>
      </c>
      <c r="G7" s="713">
        <v>174</v>
      </c>
      <c r="H7" s="713">
        <v>192</v>
      </c>
      <c r="I7" s="713">
        <v>108</v>
      </c>
      <c r="J7" s="713">
        <v>89</v>
      </c>
      <c r="K7" s="713">
        <v>52</v>
      </c>
      <c r="L7" s="713">
        <v>38</v>
      </c>
      <c r="M7" s="713">
        <v>34</v>
      </c>
      <c r="N7" s="713">
        <v>4</v>
      </c>
      <c r="O7" s="940">
        <f t="shared" ref="O7:O10" si="4">SUM(C7:N7)/12</f>
        <v>73.666666666666671</v>
      </c>
      <c r="P7" s="944">
        <f t="shared" si="2"/>
        <v>2.3231519999999999</v>
      </c>
      <c r="R7" s="713">
        <v>6</v>
      </c>
      <c r="S7" s="713">
        <v>9</v>
      </c>
      <c r="T7" s="713">
        <v>41</v>
      </c>
      <c r="U7" s="713">
        <v>137</v>
      </c>
      <c r="V7" s="713">
        <v>174</v>
      </c>
      <c r="W7" s="713">
        <v>192</v>
      </c>
      <c r="X7" s="713">
        <v>108</v>
      </c>
      <c r="Y7" s="713">
        <v>89</v>
      </c>
      <c r="Z7" s="713">
        <v>52</v>
      </c>
      <c r="AA7" s="713">
        <v>38</v>
      </c>
      <c r="AB7" s="713">
        <v>34</v>
      </c>
      <c r="AC7" s="713">
        <v>4</v>
      </c>
      <c r="AD7" s="497">
        <f t="shared" si="0"/>
        <v>884</v>
      </c>
      <c r="AE7" s="938">
        <v>74</v>
      </c>
      <c r="AF7" s="407">
        <f t="shared" si="3"/>
        <v>2333664000</v>
      </c>
      <c r="AG7" s="408">
        <f t="shared" si="1"/>
        <v>2.3336640000000002</v>
      </c>
    </row>
    <row r="8" spans="1:33" ht="39" customHeight="1">
      <c r="A8" s="1078" t="s">
        <v>353</v>
      </c>
      <c r="B8" s="1078"/>
      <c r="C8" s="713">
        <v>1</v>
      </c>
      <c r="D8" s="713">
        <v>6</v>
      </c>
      <c r="E8" s="713">
        <v>32</v>
      </c>
      <c r="F8" s="713">
        <v>47</v>
      </c>
      <c r="G8" s="713">
        <v>17</v>
      </c>
      <c r="H8" s="713">
        <v>10</v>
      </c>
      <c r="I8" s="713">
        <v>2</v>
      </c>
      <c r="J8" s="713">
        <v>10</v>
      </c>
      <c r="K8" s="713">
        <v>1</v>
      </c>
      <c r="L8" s="713">
        <v>1</v>
      </c>
      <c r="M8" s="713">
        <v>1</v>
      </c>
      <c r="N8" s="713">
        <v>1</v>
      </c>
      <c r="O8" s="940">
        <f t="shared" si="4"/>
        <v>10.75</v>
      </c>
      <c r="P8" s="944">
        <f t="shared" si="2"/>
        <v>0.33901199999999998</v>
      </c>
      <c r="R8" s="713">
        <v>1</v>
      </c>
      <c r="S8" s="713">
        <v>6</v>
      </c>
      <c r="T8" s="713">
        <v>32</v>
      </c>
      <c r="U8" s="713">
        <v>47</v>
      </c>
      <c r="V8" s="713">
        <v>17</v>
      </c>
      <c r="W8" s="713">
        <v>10</v>
      </c>
      <c r="X8" s="713">
        <v>2</v>
      </c>
      <c r="Y8" s="713">
        <v>10</v>
      </c>
      <c r="Z8" s="713">
        <v>1</v>
      </c>
      <c r="AA8" s="713">
        <v>1</v>
      </c>
      <c r="AB8" s="713">
        <v>1</v>
      </c>
      <c r="AC8" s="713">
        <v>1</v>
      </c>
      <c r="AD8" s="711">
        <f t="shared" si="0"/>
        <v>129</v>
      </c>
      <c r="AE8" s="938">
        <v>11</v>
      </c>
      <c r="AF8" s="407">
        <f t="shared" si="3"/>
        <v>346896000</v>
      </c>
      <c r="AG8" s="408">
        <f t="shared" si="1"/>
        <v>0.34689599999999998</v>
      </c>
    </row>
    <row r="9" spans="1:33" ht="39" customHeight="1">
      <c r="A9" s="1078" t="s">
        <v>195</v>
      </c>
      <c r="B9" s="1078"/>
      <c r="C9" s="713">
        <v>10</v>
      </c>
      <c r="D9" s="713">
        <v>17</v>
      </c>
      <c r="E9" s="713">
        <v>25</v>
      </c>
      <c r="F9" s="713">
        <v>63</v>
      </c>
      <c r="G9" s="713">
        <v>75</v>
      </c>
      <c r="H9" s="713">
        <v>73</v>
      </c>
      <c r="I9" s="713">
        <v>28</v>
      </c>
      <c r="J9" s="713">
        <v>29</v>
      </c>
      <c r="K9" s="713">
        <v>21</v>
      </c>
      <c r="L9" s="713">
        <v>18</v>
      </c>
      <c r="M9" s="713">
        <v>24</v>
      </c>
      <c r="N9" s="713">
        <v>7</v>
      </c>
      <c r="O9" s="940">
        <f t="shared" si="4"/>
        <v>32.5</v>
      </c>
      <c r="P9" s="944">
        <f t="shared" si="2"/>
        <v>1.0249200000000001</v>
      </c>
      <c r="R9" s="713">
        <v>10</v>
      </c>
      <c r="S9" s="713">
        <v>17</v>
      </c>
      <c r="T9" s="713">
        <v>25</v>
      </c>
      <c r="U9" s="713">
        <v>63</v>
      </c>
      <c r="V9" s="713">
        <v>75</v>
      </c>
      <c r="W9" s="713">
        <v>73</v>
      </c>
      <c r="X9" s="713">
        <v>28</v>
      </c>
      <c r="Y9" s="713">
        <v>29</v>
      </c>
      <c r="Z9" s="713">
        <v>21</v>
      </c>
      <c r="AA9" s="713">
        <v>18</v>
      </c>
      <c r="AB9" s="713">
        <v>24</v>
      </c>
      <c r="AC9" s="713">
        <v>7</v>
      </c>
      <c r="AD9" s="21">
        <f t="shared" si="0"/>
        <v>390</v>
      </c>
      <c r="AE9" s="938">
        <v>33</v>
      </c>
      <c r="AF9" s="407">
        <f>AE9*60*60*24*365</f>
        <v>1040688000</v>
      </c>
      <c r="AG9" s="408">
        <f t="shared" si="1"/>
        <v>1.0406880000000001</v>
      </c>
    </row>
    <row r="10" spans="1:33" ht="39" customHeight="1">
      <c r="A10" s="1079" t="s">
        <v>354</v>
      </c>
      <c r="B10" s="1079"/>
      <c r="C10" s="714">
        <v>234</v>
      </c>
      <c r="D10" s="714">
        <v>224</v>
      </c>
      <c r="E10" s="714">
        <v>191</v>
      </c>
      <c r="F10" s="714">
        <v>203</v>
      </c>
      <c r="G10" s="714">
        <v>177</v>
      </c>
      <c r="H10" s="714">
        <v>186</v>
      </c>
      <c r="I10" s="714">
        <v>186</v>
      </c>
      <c r="J10" s="714">
        <v>301</v>
      </c>
      <c r="K10" s="714">
        <v>223</v>
      </c>
      <c r="L10" s="714">
        <v>229</v>
      </c>
      <c r="M10" s="714">
        <v>234</v>
      </c>
      <c r="N10" s="714">
        <v>260</v>
      </c>
      <c r="O10" s="941">
        <f t="shared" si="4"/>
        <v>220.66666666666666</v>
      </c>
      <c r="P10" s="715">
        <f t="shared" si="2"/>
        <v>6.9589439999999998</v>
      </c>
      <c r="R10" s="714">
        <v>234</v>
      </c>
      <c r="S10" s="714">
        <v>224</v>
      </c>
      <c r="T10" s="714">
        <v>191</v>
      </c>
      <c r="U10" s="714">
        <v>203</v>
      </c>
      <c r="V10" s="714">
        <v>177</v>
      </c>
      <c r="W10" s="714">
        <v>186</v>
      </c>
      <c r="X10" s="714">
        <v>186</v>
      </c>
      <c r="Y10" s="714">
        <v>301</v>
      </c>
      <c r="Z10" s="714">
        <v>223</v>
      </c>
      <c r="AA10" s="714">
        <v>229</v>
      </c>
      <c r="AB10" s="714">
        <v>234</v>
      </c>
      <c r="AC10" s="714">
        <v>260</v>
      </c>
      <c r="AD10" s="21">
        <f t="shared" si="0"/>
        <v>2648</v>
      </c>
      <c r="AE10" s="938">
        <v>221</v>
      </c>
      <c r="AF10" s="407">
        <f t="shared" ref="AF10:AF14" si="5">AE10*60*60*24*365</f>
        <v>6969456000</v>
      </c>
      <c r="AG10" s="408">
        <f t="shared" si="1"/>
        <v>6.9694560000000001</v>
      </c>
    </row>
    <row r="11" spans="1:33" ht="39" customHeight="1" thickBot="1">
      <c r="A11" s="1071" t="s">
        <v>23</v>
      </c>
      <c r="B11" s="1071"/>
      <c r="C11" s="527">
        <f t="shared" ref="C11:N11" si="6">SUM(C5:C10)</f>
        <v>496</v>
      </c>
      <c r="D11" s="527">
        <f t="shared" si="6"/>
        <v>506</v>
      </c>
      <c r="E11" s="527">
        <f t="shared" si="6"/>
        <v>613</v>
      </c>
      <c r="F11" s="527">
        <f t="shared" si="6"/>
        <v>803</v>
      </c>
      <c r="G11" s="527">
        <f t="shared" si="6"/>
        <v>831</v>
      </c>
      <c r="H11" s="527">
        <f t="shared" si="6"/>
        <v>1085</v>
      </c>
      <c r="I11" s="527">
        <f t="shared" si="6"/>
        <v>1186</v>
      </c>
      <c r="J11" s="527">
        <f t="shared" si="6"/>
        <v>1230</v>
      </c>
      <c r="K11" s="527">
        <f t="shared" si="6"/>
        <v>770</v>
      </c>
      <c r="L11" s="527">
        <f t="shared" si="6"/>
        <v>705</v>
      </c>
      <c r="M11" s="527">
        <f t="shared" si="6"/>
        <v>778</v>
      </c>
      <c r="N11" s="527">
        <f t="shared" si="6"/>
        <v>700</v>
      </c>
      <c r="O11" s="942">
        <f>SUM(A11:N11)/12</f>
        <v>808.58333333333337</v>
      </c>
      <c r="P11" s="945">
        <f t="shared" si="2"/>
        <v>25.499483999999999</v>
      </c>
      <c r="R11" s="527">
        <f t="shared" ref="R11:AC11" si="7">SUM(R5:R10)</f>
        <v>496</v>
      </c>
      <c r="S11" s="527">
        <f t="shared" si="7"/>
        <v>506</v>
      </c>
      <c r="T11" s="527">
        <f t="shared" si="7"/>
        <v>613</v>
      </c>
      <c r="U11" s="527">
        <f t="shared" si="7"/>
        <v>803</v>
      </c>
      <c r="V11" s="527">
        <f t="shared" si="7"/>
        <v>831</v>
      </c>
      <c r="W11" s="527">
        <f t="shared" si="7"/>
        <v>1085</v>
      </c>
      <c r="X11" s="527">
        <f t="shared" si="7"/>
        <v>1186</v>
      </c>
      <c r="Y11" s="527">
        <f t="shared" si="7"/>
        <v>1230</v>
      </c>
      <c r="Z11" s="527">
        <f t="shared" si="7"/>
        <v>770</v>
      </c>
      <c r="AA11" s="527">
        <f t="shared" si="7"/>
        <v>705</v>
      </c>
      <c r="AB11" s="527">
        <f t="shared" si="7"/>
        <v>778</v>
      </c>
      <c r="AC11" s="527">
        <f t="shared" si="7"/>
        <v>700</v>
      </c>
      <c r="AD11" s="499">
        <f t="shared" si="0"/>
        <v>9703</v>
      </c>
      <c r="AE11" s="938">
        <f>AD11/12</f>
        <v>808.58333333333337</v>
      </c>
      <c r="AF11" s="407">
        <f>AE11*60*60*24*365</f>
        <v>25499484000</v>
      </c>
      <c r="AG11" s="408">
        <f t="shared" si="1"/>
        <v>25.499483999999999</v>
      </c>
    </row>
    <row r="12" spans="1:33" ht="24.75" customHeight="1" thickTop="1">
      <c r="A12" s="1080" t="s">
        <v>514</v>
      </c>
      <c r="B12" s="1080"/>
      <c r="C12" s="1080"/>
      <c r="D12" s="1080"/>
      <c r="E12" s="1080"/>
      <c r="F12" s="1080"/>
      <c r="G12" s="1080"/>
      <c r="H12" s="1080"/>
      <c r="I12" s="1080"/>
      <c r="J12" s="1080"/>
      <c r="K12" s="1080"/>
      <c r="L12" s="1080"/>
      <c r="M12" s="6"/>
      <c r="N12" s="6"/>
      <c r="O12" s="6"/>
      <c r="P12" s="6"/>
    </row>
    <row r="13" spans="1:33" ht="21.75" customHeight="1">
      <c r="A13" s="1081" t="s">
        <v>607</v>
      </c>
      <c r="B13" s="1081"/>
      <c r="C13" s="1081"/>
      <c r="D13" s="1081"/>
      <c r="E13" s="1081"/>
      <c r="F13" s="1081"/>
      <c r="G13" s="1081"/>
      <c r="H13" s="1081"/>
      <c r="I13" s="1081"/>
      <c r="J13" s="1081"/>
      <c r="K13" s="1081"/>
      <c r="L13" s="1081"/>
      <c r="M13" s="1081"/>
      <c r="N13" s="1081"/>
      <c r="O13" s="6"/>
      <c r="P13" s="6"/>
    </row>
    <row r="14" spans="1:33" ht="24.75" customHeight="1">
      <c r="A14" s="1075" t="s">
        <v>4</v>
      </c>
      <c r="B14" s="1075"/>
      <c r="C14" s="1075"/>
      <c r="D14" s="1075"/>
      <c r="E14" s="1075"/>
      <c r="F14" s="1075"/>
      <c r="G14" s="1075"/>
      <c r="H14" s="1075"/>
      <c r="I14" s="1075"/>
      <c r="J14" s="1075"/>
      <c r="K14" s="1075"/>
      <c r="L14" s="129"/>
      <c r="M14" s="129"/>
      <c r="N14" s="129"/>
      <c r="O14" s="129"/>
      <c r="P14" s="129"/>
      <c r="AF14" s="1">
        <f t="shared" si="5"/>
        <v>0</v>
      </c>
    </row>
    <row r="15" spans="1:33" ht="27" customHeight="1">
      <c r="A15" s="524"/>
      <c r="B15" s="524"/>
      <c r="C15" s="524"/>
      <c r="D15" s="524"/>
      <c r="E15" s="524"/>
      <c r="F15" s="524"/>
      <c r="G15" s="524"/>
      <c r="H15" s="524"/>
      <c r="I15" s="524"/>
      <c r="J15" s="524"/>
      <c r="K15" s="524"/>
      <c r="L15" s="129"/>
      <c r="M15" s="129"/>
      <c r="N15" s="129"/>
      <c r="O15" s="129"/>
      <c r="P15" s="129"/>
      <c r="AF15" s="1"/>
    </row>
    <row r="16" spans="1:33" ht="24.75" customHeight="1">
      <c r="A16" s="12"/>
      <c r="B16" s="12"/>
      <c r="C16" s="12"/>
      <c r="D16" s="12"/>
      <c r="E16" s="12"/>
      <c r="F16" s="12"/>
      <c r="G16" s="12"/>
      <c r="H16" s="12"/>
      <c r="I16" s="12"/>
      <c r="J16" s="12"/>
      <c r="K16" s="12"/>
      <c r="L16" s="12"/>
      <c r="M16" s="12"/>
      <c r="N16" s="12"/>
      <c r="O16" s="12"/>
      <c r="P16" s="12"/>
    </row>
    <row r="17" spans="1:31" ht="24.75" customHeight="1">
      <c r="A17" s="1070" t="s">
        <v>204</v>
      </c>
      <c r="B17" s="1070"/>
      <c r="C17" s="1070"/>
      <c r="D17" s="1070"/>
      <c r="E17" s="1070"/>
      <c r="F17" s="1070"/>
      <c r="G17" s="1070"/>
      <c r="H17" s="1070"/>
      <c r="I17" s="92"/>
      <c r="J17" s="92"/>
      <c r="K17" s="92"/>
      <c r="L17" s="92"/>
      <c r="M17" s="92"/>
      <c r="N17" s="92"/>
      <c r="O17" s="92"/>
      <c r="P17" s="630">
        <v>21</v>
      </c>
      <c r="R17" s="5"/>
      <c r="S17" s="5"/>
      <c r="T17" s="5"/>
      <c r="U17" s="5"/>
      <c r="V17" s="5"/>
      <c r="W17" s="5"/>
      <c r="X17" s="5"/>
      <c r="Y17" s="5"/>
      <c r="Z17" s="5"/>
      <c r="AA17" s="5"/>
      <c r="AB17" s="5"/>
      <c r="AC17" s="5"/>
      <c r="AE17" s="26"/>
    </row>
    <row r="20" spans="1:31">
      <c r="L20">
        <f>93.51/33.2</f>
        <v>2.8165662650602408</v>
      </c>
    </row>
    <row r="21" spans="1:31">
      <c r="L21">
        <f>L20-1</f>
        <v>1.8165662650602408</v>
      </c>
    </row>
    <row r="22" spans="1:31">
      <c r="L22">
        <f>L21*100</f>
        <v>181.65662650602408</v>
      </c>
      <c r="O22" s="409" t="e">
        <f>P10+#REF!+P8</f>
        <v>#REF!</v>
      </c>
    </row>
    <row r="24" spans="1:31">
      <c r="C24">
        <f>C5*24*60*60*31</f>
        <v>522288000</v>
      </c>
      <c r="D24">
        <f t="shared" ref="D24:N24" si="8">C5*60*60*24*31</f>
        <v>522288000</v>
      </c>
      <c r="E24">
        <f t="shared" si="8"/>
        <v>508896000</v>
      </c>
      <c r="F24">
        <f t="shared" si="8"/>
        <v>559785600</v>
      </c>
      <c r="G24">
        <f t="shared" si="8"/>
        <v>570499200</v>
      </c>
      <c r="H24">
        <f t="shared" si="8"/>
        <v>637459200</v>
      </c>
      <c r="I24">
        <f t="shared" si="8"/>
        <v>1001721600</v>
      </c>
      <c r="J24">
        <f t="shared" si="8"/>
        <v>889228800</v>
      </c>
      <c r="K24">
        <f t="shared" si="8"/>
        <v>859766400</v>
      </c>
      <c r="L24">
        <f t="shared" si="8"/>
        <v>650851200</v>
      </c>
      <c r="M24">
        <f t="shared" si="8"/>
        <v>854409600</v>
      </c>
      <c r="N24">
        <f t="shared" si="8"/>
        <v>1138320000</v>
      </c>
    </row>
    <row r="25" spans="1:31">
      <c r="C25">
        <f>C24/1000000000</f>
        <v>0.52228799999999997</v>
      </c>
      <c r="D25">
        <f t="shared" ref="D25:N25" si="9">D24/1000000000</f>
        <v>0.52228799999999997</v>
      </c>
      <c r="E25">
        <f t="shared" si="9"/>
        <v>0.50889600000000002</v>
      </c>
      <c r="F25">
        <f t="shared" si="9"/>
        <v>0.55978559999999999</v>
      </c>
      <c r="G25">
        <f t="shared" si="9"/>
        <v>0.57049919999999998</v>
      </c>
      <c r="H25">
        <f t="shared" si="9"/>
        <v>0.6374592</v>
      </c>
      <c r="I25">
        <f t="shared" si="9"/>
        <v>1.0017216</v>
      </c>
      <c r="J25">
        <f t="shared" si="9"/>
        <v>0.88922880000000004</v>
      </c>
      <c r="K25">
        <f t="shared" si="9"/>
        <v>0.85976640000000004</v>
      </c>
      <c r="L25">
        <f t="shared" si="9"/>
        <v>0.65085119999999996</v>
      </c>
      <c r="M25">
        <f t="shared" si="9"/>
        <v>0.85440959999999999</v>
      </c>
      <c r="N25">
        <f t="shared" si="9"/>
        <v>1.13832</v>
      </c>
      <c r="O25">
        <f>SUM(C25:N25)</f>
        <v>8.7155135999999995</v>
      </c>
    </row>
  </sheetData>
  <mergeCells count="15">
    <mergeCell ref="A3:B4"/>
    <mergeCell ref="A17:H17"/>
    <mergeCell ref="A11:B11"/>
    <mergeCell ref="A1:P1"/>
    <mergeCell ref="A2:P2"/>
    <mergeCell ref="C3:N3"/>
    <mergeCell ref="A14:K14"/>
    <mergeCell ref="A5:B5"/>
    <mergeCell ref="A6:B6"/>
    <mergeCell ref="A7:B7"/>
    <mergeCell ref="A8:B8"/>
    <mergeCell ref="A9:B9"/>
    <mergeCell ref="A10:B10"/>
    <mergeCell ref="A12:L12"/>
    <mergeCell ref="A13:N13"/>
  </mergeCells>
  <printOptions horizontalCentered="1"/>
  <pageMargins left="0.45" right="0.45" top="0.5" bottom="0.5" header="0.3" footer="0.3"/>
  <pageSetup paperSize="9" scale="9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EG27"/>
  <sheetViews>
    <sheetView rightToLeft="1" view="pageBreakPreview" zoomScale="90" zoomScaleSheetLayoutView="90" workbookViewId="0">
      <pane ySplit="4" topLeftCell="A5" activePane="bottomLeft" state="frozen"/>
      <selection pane="bottomLeft" activeCell="K27" sqref="K27"/>
    </sheetView>
  </sheetViews>
  <sheetFormatPr defaultColWidth="10.42578125" defaultRowHeight="15"/>
  <cols>
    <col min="1" max="1" width="11.85546875" customWidth="1"/>
    <col min="2" max="2" width="10.140625" customWidth="1"/>
    <col min="3" max="3" width="6.85546875" customWidth="1"/>
    <col min="4" max="4" width="12.140625" customWidth="1"/>
    <col min="5" max="5" width="13.28515625" customWidth="1"/>
    <col min="6" max="6" width="14.28515625" customWidth="1"/>
    <col min="7" max="7" width="15.7109375" customWidth="1"/>
    <col min="8" max="8" width="13.28515625" customWidth="1"/>
    <col min="9" max="9" width="9.28515625" customWidth="1"/>
    <col min="10" max="10" width="12.42578125" customWidth="1"/>
    <col min="11" max="11" width="14.85546875" customWidth="1"/>
  </cols>
  <sheetData>
    <row r="1" spans="1:137" ht="28.5" customHeight="1">
      <c r="A1" s="1133" t="s">
        <v>576</v>
      </c>
      <c r="B1" s="1133"/>
      <c r="C1" s="1133"/>
      <c r="D1" s="1133"/>
      <c r="E1" s="1133"/>
      <c r="F1" s="1133"/>
      <c r="G1" s="1133"/>
      <c r="H1" s="1133"/>
      <c r="I1" s="1133"/>
      <c r="J1" s="1133"/>
      <c r="K1" s="1133"/>
    </row>
    <row r="2" spans="1:137" ht="22.5" customHeight="1" thickBot="1">
      <c r="A2" s="1134" t="s">
        <v>339</v>
      </c>
      <c r="B2" s="1134"/>
      <c r="C2" s="1134"/>
      <c r="D2" s="1134"/>
      <c r="E2" s="1134"/>
      <c r="F2" s="1134"/>
      <c r="G2" s="1134"/>
      <c r="H2" s="1134"/>
      <c r="I2" s="1134"/>
      <c r="J2" s="1134"/>
      <c r="K2" s="1134"/>
    </row>
    <row r="3" spans="1:137" ht="32.25" customHeight="1" thickTop="1">
      <c r="A3" s="1068" t="s">
        <v>57</v>
      </c>
      <c r="B3" s="1116" t="s">
        <v>229</v>
      </c>
      <c r="C3" s="1116"/>
      <c r="D3" s="949" t="s">
        <v>250</v>
      </c>
      <c r="E3" s="330" t="s">
        <v>250</v>
      </c>
      <c r="F3" s="330" t="s">
        <v>305</v>
      </c>
      <c r="G3" s="330" t="s">
        <v>306</v>
      </c>
      <c r="H3" s="1116" t="s">
        <v>312</v>
      </c>
      <c r="I3" s="1116"/>
      <c r="J3" s="1116"/>
      <c r="K3" s="1068" t="s">
        <v>225</v>
      </c>
    </row>
    <row r="4" spans="1:137" ht="25.5" customHeight="1">
      <c r="A4" s="1069"/>
      <c r="B4" s="227" t="s">
        <v>249</v>
      </c>
      <c r="C4" s="227" t="s">
        <v>227</v>
      </c>
      <c r="D4" s="951" t="s">
        <v>571</v>
      </c>
      <c r="E4" s="259" t="s">
        <v>251</v>
      </c>
      <c r="F4" s="259" t="s">
        <v>251</v>
      </c>
      <c r="G4" s="259" t="s">
        <v>251</v>
      </c>
      <c r="H4" s="152" t="s">
        <v>252</v>
      </c>
      <c r="I4" s="152" t="s">
        <v>253</v>
      </c>
      <c r="J4" s="152" t="s">
        <v>23</v>
      </c>
      <c r="K4" s="1069"/>
    </row>
    <row r="5" spans="1:137" s="16" customFormat="1" ht="22.5" customHeight="1">
      <c r="A5" s="455" t="s">
        <v>58</v>
      </c>
      <c r="B5" s="215">
        <v>101</v>
      </c>
      <c r="C5" s="433">
        <f>B5/$B$21*100</f>
        <v>2.914862914862915</v>
      </c>
      <c r="D5" s="270">
        <v>16025</v>
      </c>
      <c r="E5" s="270">
        <v>384600</v>
      </c>
      <c r="F5" s="270">
        <v>288450</v>
      </c>
      <c r="G5" s="270">
        <v>240375</v>
      </c>
      <c r="H5" s="215">
        <v>252394</v>
      </c>
      <c r="I5" s="215">
        <v>0</v>
      </c>
      <c r="J5" s="215">
        <f>SUM(H5:I5)</f>
        <v>252394</v>
      </c>
      <c r="K5" s="417">
        <f t="shared" ref="K5:K21" si="0">G5/E5*100</f>
        <v>62.5</v>
      </c>
      <c r="L5" s="627"/>
      <c r="M5" s="627"/>
      <c r="N5" s="270">
        <v>240375</v>
      </c>
      <c r="O5" s="953">
        <f>N5/1000</f>
        <v>240.375</v>
      </c>
      <c r="P5" s="627"/>
      <c r="Q5" s="627"/>
      <c r="R5" s="627"/>
      <c r="S5" s="627"/>
      <c r="T5" s="627"/>
      <c r="U5" s="627"/>
      <c r="V5" s="627"/>
      <c r="W5" s="627"/>
      <c r="X5" s="627"/>
      <c r="Y5" s="627"/>
      <c r="Z5" s="627"/>
      <c r="AA5" s="627"/>
      <c r="AB5" s="627"/>
      <c r="AC5" s="627"/>
      <c r="AD5" s="627"/>
      <c r="AE5" s="627"/>
      <c r="AF5" s="627"/>
      <c r="AG5" s="627"/>
      <c r="AH5" s="627"/>
      <c r="AI5" s="627"/>
      <c r="AJ5" s="627"/>
      <c r="AK5" s="627"/>
      <c r="AL5" s="627"/>
      <c r="AM5" s="627"/>
      <c r="AN5" s="627"/>
      <c r="AO5" s="627"/>
      <c r="AP5" s="627"/>
      <c r="AQ5" s="627"/>
      <c r="AR5" s="627"/>
      <c r="AS5" s="627"/>
      <c r="AT5" s="627"/>
      <c r="AU5" s="627"/>
      <c r="AV5" s="627"/>
      <c r="AW5" s="627"/>
      <c r="AX5" s="627"/>
      <c r="AY5" s="627"/>
      <c r="AZ5" s="627"/>
      <c r="BA5" s="627"/>
      <c r="BB5" s="627"/>
      <c r="BC5" s="627"/>
      <c r="BD5" s="627"/>
      <c r="BE5" s="627"/>
      <c r="BF5" s="627"/>
      <c r="BG5" s="627"/>
      <c r="BH5" s="627"/>
      <c r="BI5" s="627"/>
      <c r="BJ5" s="627"/>
      <c r="BK5" s="627"/>
      <c r="BL5" s="627"/>
      <c r="BM5" s="627"/>
      <c r="BN5" s="627"/>
      <c r="BO5" s="627"/>
      <c r="BP5" s="627"/>
      <c r="BQ5" s="627"/>
      <c r="BR5" s="627"/>
      <c r="BS5" s="627"/>
      <c r="BT5" s="627"/>
      <c r="BU5" s="627"/>
      <c r="BV5" s="627"/>
      <c r="BW5" s="627"/>
      <c r="BX5" s="627"/>
      <c r="BY5" s="627"/>
      <c r="BZ5" s="627"/>
      <c r="CA5" s="627"/>
      <c r="CB5" s="627"/>
      <c r="CC5" s="627"/>
      <c r="CD5" s="627"/>
      <c r="CE5" s="627"/>
      <c r="CF5" s="627"/>
      <c r="CG5" s="627"/>
      <c r="CH5" s="627"/>
      <c r="CI5" s="627"/>
      <c r="CJ5" s="627"/>
      <c r="CK5" s="627"/>
      <c r="CL5" s="627"/>
      <c r="CM5" s="627"/>
      <c r="CN5" s="627"/>
      <c r="CO5" s="627"/>
      <c r="CP5" s="627"/>
      <c r="CQ5" s="627"/>
      <c r="CR5" s="627"/>
      <c r="CS5" s="627"/>
      <c r="CT5" s="627"/>
      <c r="CU5" s="627"/>
      <c r="CV5" s="627"/>
      <c r="CW5" s="627"/>
      <c r="CX5" s="627"/>
      <c r="CY5" s="627"/>
      <c r="CZ5" s="627"/>
      <c r="DA5" s="627"/>
      <c r="DB5" s="627"/>
      <c r="DC5" s="627"/>
      <c r="DD5" s="627"/>
      <c r="DE5" s="627"/>
      <c r="DF5" s="627"/>
      <c r="DG5" s="627"/>
      <c r="DH5" s="627"/>
      <c r="DI5" s="627"/>
      <c r="DJ5" s="627"/>
      <c r="DK5" s="627"/>
      <c r="DL5" s="627"/>
      <c r="DM5" s="627"/>
      <c r="DN5" s="627"/>
      <c r="DO5" s="627"/>
      <c r="DP5" s="627"/>
      <c r="DQ5" s="627"/>
      <c r="DR5" s="627"/>
      <c r="DS5" s="627"/>
      <c r="DT5" s="627"/>
      <c r="DU5" s="627"/>
      <c r="DV5" s="627"/>
      <c r="DW5" s="627"/>
      <c r="DX5" s="627"/>
      <c r="DY5" s="627"/>
      <c r="DZ5" s="627"/>
      <c r="EA5" s="627"/>
      <c r="EB5" s="627"/>
      <c r="EC5" s="627"/>
      <c r="ED5" s="627"/>
      <c r="EE5" s="627"/>
      <c r="EF5" s="627"/>
      <c r="EG5" s="627"/>
    </row>
    <row r="6" spans="1:137" s="249" customFormat="1" ht="22.5" customHeight="1">
      <c r="A6" s="455" t="s">
        <v>59</v>
      </c>
      <c r="B6" s="354">
        <v>98</v>
      </c>
      <c r="C6" s="433">
        <f>B6/$B$21*100</f>
        <v>2.8282828282828283</v>
      </c>
      <c r="D6" s="270">
        <v>16095</v>
      </c>
      <c r="E6" s="458">
        <v>386280</v>
      </c>
      <c r="F6" s="458">
        <v>347652</v>
      </c>
      <c r="G6" s="458">
        <v>106876</v>
      </c>
      <c r="H6" s="354">
        <v>112220</v>
      </c>
      <c r="I6" s="354">
        <v>0</v>
      </c>
      <c r="J6" s="354">
        <f>SUM(H6:I6)</f>
        <v>112220</v>
      </c>
      <c r="K6" s="417">
        <f t="shared" si="0"/>
        <v>27.668012840426631</v>
      </c>
      <c r="L6" s="456"/>
      <c r="M6" s="456"/>
      <c r="N6" s="458">
        <v>106876</v>
      </c>
      <c r="O6" s="954">
        <f t="shared" ref="O6:O20" si="1">N6/1000</f>
        <v>106.876</v>
      </c>
      <c r="P6" s="457"/>
      <c r="Q6" s="450"/>
      <c r="R6" s="450"/>
      <c r="S6" s="450"/>
    </row>
    <row r="7" spans="1:137" s="891" customFormat="1" ht="22.5" customHeight="1">
      <c r="A7" s="926" t="s">
        <v>60</v>
      </c>
      <c r="B7" s="354">
        <v>198</v>
      </c>
      <c r="C7" s="433">
        <f>B7/B21*100</f>
        <v>5.7142857142857144</v>
      </c>
      <c r="D7" s="270">
        <v>25270</v>
      </c>
      <c r="E7" s="458">
        <v>606480</v>
      </c>
      <c r="F7" s="458">
        <v>282704</v>
      </c>
      <c r="G7" s="458">
        <v>168842</v>
      </c>
      <c r="H7" s="354">
        <v>185726</v>
      </c>
      <c r="I7" s="354">
        <v>0</v>
      </c>
      <c r="J7" s="354">
        <f>H7+I7</f>
        <v>185726</v>
      </c>
      <c r="K7" s="417">
        <f t="shared" si="0"/>
        <v>27.839664951853315</v>
      </c>
      <c r="L7" s="890"/>
      <c r="M7" s="892"/>
      <c r="N7" s="458">
        <v>168842</v>
      </c>
      <c r="O7" s="955">
        <f t="shared" si="1"/>
        <v>168.84200000000001</v>
      </c>
      <c r="P7" s="893"/>
      <c r="Q7" s="893"/>
      <c r="R7" s="893"/>
    </row>
    <row r="8" spans="1:137" s="249" customFormat="1" ht="22.5" customHeight="1">
      <c r="A8" s="549" t="s">
        <v>296</v>
      </c>
      <c r="B8" s="215">
        <v>460</v>
      </c>
      <c r="C8" s="433">
        <f t="shared" ref="C8:C21" si="2">B8/$B$21*100</f>
        <v>13.275613275613276</v>
      </c>
      <c r="D8" s="270">
        <v>74000</v>
      </c>
      <c r="E8" s="270">
        <v>1776000</v>
      </c>
      <c r="F8" s="270">
        <v>476000</v>
      </c>
      <c r="G8" s="270">
        <v>448000</v>
      </c>
      <c r="H8" s="215">
        <v>470000</v>
      </c>
      <c r="I8" s="215">
        <v>0</v>
      </c>
      <c r="J8" s="215">
        <f>SUM(H8:I8)</f>
        <v>470000</v>
      </c>
      <c r="K8" s="417">
        <f t="shared" si="0"/>
        <v>25.225225225225223</v>
      </c>
      <c r="L8" s="355"/>
      <c r="M8" s="432"/>
      <c r="N8" s="270">
        <v>448000</v>
      </c>
      <c r="O8" s="425">
        <f t="shared" si="1"/>
        <v>448</v>
      </c>
      <c r="P8" s="434"/>
      <c r="Q8" s="434"/>
      <c r="R8" s="434"/>
    </row>
    <row r="9" spans="1:137" s="249" customFormat="1" ht="22.5" customHeight="1">
      <c r="A9" s="889" t="s">
        <v>71</v>
      </c>
      <c r="B9" s="215">
        <v>99</v>
      </c>
      <c r="C9" s="433">
        <f t="shared" si="2"/>
        <v>2.8571428571428572</v>
      </c>
      <c r="D9" s="270">
        <v>12455</v>
      </c>
      <c r="E9" s="270">
        <v>298920</v>
      </c>
      <c r="F9" s="270">
        <v>244000</v>
      </c>
      <c r="G9" s="270">
        <v>205000</v>
      </c>
      <c r="H9" s="215">
        <v>250000</v>
      </c>
      <c r="I9" s="215">
        <v>0</v>
      </c>
      <c r="J9" s="215">
        <f>I9+H9</f>
        <v>250000</v>
      </c>
      <c r="K9" s="417">
        <f t="shared" si="0"/>
        <v>68.580222133012185</v>
      </c>
      <c r="L9" s="355"/>
      <c r="M9" s="432"/>
      <c r="N9" s="270">
        <v>205000</v>
      </c>
      <c r="O9" s="426">
        <f t="shared" si="1"/>
        <v>205</v>
      </c>
    </row>
    <row r="10" spans="1:137" s="249" customFormat="1" ht="22.5" customHeight="1">
      <c r="A10" s="899" t="s">
        <v>62</v>
      </c>
      <c r="B10" s="215">
        <v>180</v>
      </c>
      <c r="C10" s="433">
        <f t="shared" si="2"/>
        <v>5.1948051948051948</v>
      </c>
      <c r="D10" s="270">
        <v>27980</v>
      </c>
      <c r="E10" s="270">
        <v>671520</v>
      </c>
      <c r="F10" s="270">
        <v>279899</v>
      </c>
      <c r="G10" s="270">
        <v>279899</v>
      </c>
      <c r="H10" s="215">
        <v>307889</v>
      </c>
      <c r="I10" s="215">
        <v>0</v>
      </c>
      <c r="J10" s="215">
        <f t="shared" ref="J10:J20" si="3">SUM(H10:I10)</f>
        <v>307889</v>
      </c>
      <c r="K10" s="417">
        <f t="shared" si="0"/>
        <v>41.681409340004762</v>
      </c>
      <c r="L10" s="355"/>
      <c r="M10" s="432"/>
      <c r="N10" s="270">
        <v>279899</v>
      </c>
      <c r="O10" s="426">
        <f t="shared" si="1"/>
        <v>279.899</v>
      </c>
    </row>
    <row r="11" spans="1:137" s="249" customFormat="1" ht="22.5" customHeight="1">
      <c r="A11" s="577" t="s">
        <v>64</v>
      </c>
      <c r="B11" s="215">
        <v>280</v>
      </c>
      <c r="C11" s="433">
        <f t="shared" si="2"/>
        <v>8.0808080808080813</v>
      </c>
      <c r="D11" s="270">
        <v>48852</v>
      </c>
      <c r="E11" s="270">
        <v>1172448</v>
      </c>
      <c r="F11" s="270">
        <v>453198</v>
      </c>
      <c r="G11" s="270">
        <v>405493</v>
      </c>
      <c r="H11" s="270">
        <v>446042</v>
      </c>
      <c r="I11" s="270">
        <v>0</v>
      </c>
      <c r="J11" s="215">
        <f t="shared" si="3"/>
        <v>446042</v>
      </c>
      <c r="K11" s="417">
        <f t="shared" si="0"/>
        <v>34.585158574196896</v>
      </c>
      <c r="L11" s="355"/>
      <c r="M11" s="432"/>
      <c r="N11" s="270">
        <v>405493</v>
      </c>
      <c r="O11" s="426">
        <f t="shared" si="1"/>
        <v>405.49299999999999</v>
      </c>
    </row>
    <row r="12" spans="1:137" s="249" customFormat="1" ht="22.5" customHeight="1">
      <c r="A12" s="587" t="s">
        <v>56</v>
      </c>
      <c r="B12" s="215">
        <v>100</v>
      </c>
      <c r="C12" s="433">
        <f t="shared" si="2"/>
        <v>2.8860028860028861</v>
      </c>
      <c r="D12" s="270">
        <v>12036</v>
      </c>
      <c r="E12" s="270">
        <v>288864</v>
      </c>
      <c r="F12" s="270">
        <v>245534</v>
      </c>
      <c r="G12" s="270">
        <v>144432</v>
      </c>
      <c r="H12" s="211">
        <v>158875</v>
      </c>
      <c r="I12" s="211">
        <v>0</v>
      </c>
      <c r="J12" s="211">
        <f t="shared" si="3"/>
        <v>158875</v>
      </c>
      <c r="K12" s="417">
        <f t="shared" si="0"/>
        <v>50</v>
      </c>
      <c r="L12" s="355"/>
      <c r="M12" s="432"/>
      <c r="N12" s="270">
        <v>144432</v>
      </c>
      <c r="O12" s="426">
        <f t="shared" si="1"/>
        <v>144.43199999999999</v>
      </c>
    </row>
    <row r="13" spans="1:137" s="248" customFormat="1" ht="23.25" customHeight="1">
      <c r="A13" s="579" t="s">
        <v>63</v>
      </c>
      <c r="B13" s="211">
        <v>292</v>
      </c>
      <c r="C13" s="433">
        <f t="shared" si="2"/>
        <v>8.4271284271284266</v>
      </c>
      <c r="D13" s="270">
        <v>35136</v>
      </c>
      <c r="E13" s="270">
        <v>843264</v>
      </c>
      <c r="F13" s="270">
        <v>606374</v>
      </c>
      <c r="G13" s="270">
        <v>324600</v>
      </c>
      <c r="H13" s="211">
        <v>340830</v>
      </c>
      <c r="I13" s="211">
        <v>0</v>
      </c>
      <c r="J13" s="215">
        <f t="shared" si="3"/>
        <v>340830</v>
      </c>
      <c r="K13" s="417">
        <f t="shared" si="0"/>
        <v>38.493283242258656</v>
      </c>
      <c r="L13" s="355"/>
      <c r="M13" s="432"/>
      <c r="N13" s="270">
        <v>324600</v>
      </c>
      <c r="O13" s="426">
        <f t="shared" si="1"/>
        <v>324.60000000000002</v>
      </c>
    </row>
    <row r="14" spans="1:137" s="248" customFormat="1" ht="22.5" customHeight="1">
      <c r="A14" s="574" t="s">
        <v>61</v>
      </c>
      <c r="B14" s="215">
        <v>277</v>
      </c>
      <c r="C14" s="433">
        <f t="shared" si="2"/>
        <v>7.9942279942279937</v>
      </c>
      <c r="D14" s="270">
        <v>37428</v>
      </c>
      <c r="E14" s="270">
        <v>898272</v>
      </c>
      <c r="F14" s="270">
        <v>846568</v>
      </c>
      <c r="G14" s="270">
        <v>336088</v>
      </c>
      <c r="H14" s="215">
        <v>370027</v>
      </c>
      <c r="I14" s="215">
        <v>2400</v>
      </c>
      <c r="J14" s="215">
        <f t="shared" si="3"/>
        <v>372427</v>
      </c>
      <c r="K14" s="417">
        <f t="shared" si="0"/>
        <v>37.414947810908053</v>
      </c>
      <c r="L14" s="355"/>
      <c r="M14" s="432"/>
      <c r="N14" s="270">
        <v>336088</v>
      </c>
      <c r="O14" s="426">
        <f t="shared" si="1"/>
        <v>336.08800000000002</v>
      </c>
    </row>
    <row r="15" spans="1:137" s="248" customFormat="1" ht="22.5" customHeight="1">
      <c r="A15" s="589" t="s">
        <v>65</v>
      </c>
      <c r="B15" s="215">
        <v>119</v>
      </c>
      <c r="C15" s="433">
        <f t="shared" si="2"/>
        <v>3.4343434343434343</v>
      </c>
      <c r="D15" s="270">
        <v>28070</v>
      </c>
      <c r="E15" s="270">
        <v>673684</v>
      </c>
      <c r="F15" s="270">
        <v>558682</v>
      </c>
      <c r="G15" s="270">
        <v>298760</v>
      </c>
      <c r="H15" s="215">
        <v>313700</v>
      </c>
      <c r="I15" s="215">
        <v>0</v>
      </c>
      <c r="J15" s="215">
        <f t="shared" si="3"/>
        <v>313700</v>
      </c>
      <c r="K15" s="417">
        <f t="shared" si="0"/>
        <v>44.347201358500428</v>
      </c>
      <c r="L15" s="355"/>
      <c r="M15" s="432"/>
      <c r="N15" s="270">
        <v>298760</v>
      </c>
      <c r="O15" s="426">
        <f t="shared" si="1"/>
        <v>298.76</v>
      </c>
    </row>
    <row r="16" spans="1:137" s="248" customFormat="1" ht="22.5" customHeight="1">
      <c r="A16" s="899" t="s">
        <v>66</v>
      </c>
      <c r="B16" s="215">
        <v>314</v>
      </c>
      <c r="C16" s="433">
        <f t="shared" si="2"/>
        <v>9.062049062049061</v>
      </c>
      <c r="D16" s="270">
        <v>13600</v>
      </c>
      <c r="E16" s="270">
        <v>326400</v>
      </c>
      <c r="F16" s="270">
        <v>150000</v>
      </c>
      <c r="G16" s="270">
        <v>100000</v>
      </c>
      <c r="H16" s="215">
        <v>130000</v>
      </c>
      <c r="I16" s="215">
        <v>0</v>
      </c>
      <c r="J16" s="215">
        <f t="shared" si="3"/>
        <v>130000</v>
      </c>
      <c r="K16" s="417">
        <f t="shared" si="0"/>
        <v>30.637254901960787</v>
      </c>
      <c r="L16" s="355"/>
      <c r="M16" s="432"/>
      <c r="N16" s="270">
        <v>100000</v>
      </c>
      <c r="O16" s="426">
        <f t="shared" si="1"/>
        <v>100</v>
      </c>
    </row>
    <row r="17" spans="1:15" s="248" customFormat="1" ht="25.5" customHeight="1">
      <c r="A17" s="548" t="s">
        <v>67</v>
      </c>
      <c r="B17" s="215">
        <v>111</v>
      </c>
      <c r="C17" s="433">
        <f t="shared" si="2"/>
        <v>3.2034632034632033</v>
      </c>
      <c r="D17" s="270">
        <v>15313</v>
      </c>
      <c r="E17" s="270">
        <v>367512</v>
      </c>
      <c r="F17" s="270">
        <v>302984</v>
      </c>
      <c r="G17" s="270">
        <v>89936</v>
      </c>
      <c r="H17" s="215">
        <v>107927</v>
      </c>
      <c r="I17" s="215">
        <v>600</v>
      </c>
      <c r="J17" s="215">
        <f t="shared" si="3"/>
        <v>108527</v>
      </c>
      <c r="K17" s="417">
        <f t="shared" si="0"/>
        <v>24.471581880319555</v>
      </c>
      <c r="L17" s="355"/>
      <c r="M17" s="432"/>
      <c r="N17" s="270">
        <v>89936</v>
      </c>
      <c r="O17" s="426">
        <f t="shared" si="1"/>
        <v>89.936000000000007</v>
      </c>
    </row>
    <row r="18" spans="1:15" s="248" customFormat="1" ht="22.5" customHeight="1">
      <c r="A18" s="574" t="s">
        <v>68</v>
      </c>
      <c r="B18" s="215">
        <v>240</v>
      </c>
      <c r="C18" s="433">
        <f t="shared" si="2"/>
        <v>6.9264069264069263</v>
      </c>
      <c r="D18" s="270">
        <v>28930</v>
      </c>
      <c r="E18" s="270">
        <v>694320</v>
      </c>
      <c r="F18" s="270">
        <v>397350</v>
      </c>
      <c r="G18" s="270">
        <v>315729</v>
      </c>
      <c r="H18" s="215">
        <v>331515</v>
      </c>
      <c r="I18" s="215">
        <v>0</v>
      </c>
      <c r="J18" s="215">
        <f t="shared" si="3"/>
        <v>331515</v>
      </c>
      <c r="K18" s="417">
        <f t="shared" si="0"/>
        <v>45.473124783961289</v>
      </c>
      <c r="L18" s="355"/>
      <c r="M18" s="432"/>
      <c r="N18" s="270">
        <v>315729</v>
      </c>
      <c r="O18" s="426">
        <f t="shared" si="1"/>
        <v>315.72899999999998</v>
      </c>
    </row>
    <row r="19" spans="1:15" s="248" customFormat="1" ht="22.5" customHeight="1">
      <c r="A19" s="578" t="s">
        <v>69</v>
      </c>
      <c r="B19" s="215">
        <v>259</v>
      </c>
      <c r="C19" s="433">
        <f t="shared" si="2"/>
        <v>7.474747474747474</v>
      </c>
      <c r="D19" s="270">
        <v>34998</v>
      </c>
      <c r="E19" s="270">
        <v>839952</v>
      </c>
      <c r="F19" s="270">
        <v>632480</v>
      </c>
      <c r="G19" s="270">
        <v>560604</v>
      </c>
      <c r="H19" s="215">
        <v>586305</v>
      </c>
      <c r="I19" s="215">
        <v>1200</v>
      </c>
      <c r="J19" s="215">
        <f t="shared" si="3"/>
        <v>587505</v>
      </c>
      <c r="K19" s="417">
        <f t="shared" si="0"/>
        <v>66.74238527915881</v>
      </c>
      <c r="L19" s="355"/>
      <c r="M19" s="432"/>
      <c r="N19" s="270">
        <v>560604</v>
      </c>
      <c r="O19" s="426">
        <f t="shared" si="1"/>
        <v>560.60400000000004</v>
      </c>
    </row>
    <row r="20" spans="1:15" s="248" customFormat="1" ht="22.5" customHeight="1" thickBot="1">
      <c r="A20" s="216" t="s">
        <v>70</v>
      </c>
      <c r="B20" s="211">
        <v>337</v>
      </c>
      <c r="C20" s="433">
        <f t="shared" si="2"/>
        <v>9.7258297258297244</v>
      </c>
      <c r="D20" s="270">
        <v>81600</v>
      </c>
      <c r="E20" s="421">
        <v>1958400</v>
      </c>
      <c r="F20" s="421">
        <v>1615680</v>
      </c>
      <c r="G20" s="421">
        <v>1570857</v>
      </c>
      <c r="H20" s="211">
        <v>1649399</v>
      </c>
      <c r="I20" s="211">
        <v>0</v>
      </c>
      <c r="J20" s="211">
        <f t="shared" si="3"/>
        <v>1649399</v>
      </c>
      <c r="K20" s="417">
        <f t="shared" si="0"/>
        <v>80.211243872549019</v>
      </c>
      <c r="L20" s="221"/>
      <c r="M20" s="432"/>
      <c r="N20" s="421">
        <v>1570857</v>
      </c>
      <c r="O20" s="426">
        <f t="shared" si="1"/>
        <v>1570.857</v>
      </c>
    </row>
    <row r="21" spans="1:15" s="206" customFormat="1" ht="24.75" customHeight="1" thickTop="1" thickBot="1">
      <c r="A21" s="222" t="s">
        <v>280</v>
      </c>
      <c r="B21" s="225">
        <f>SUM(B5:B20)</f>
        <v>3465</v>
      </c>
      <c r="C21" s="303">
        <f t="shared" si="2"/>
        <v>100</v>
      </c>
      <c r="D21" s="225">
        <f>SUM(D5:D20)</f>
        <v>507788</v>
      </c>
      <c r="E21" s="225">
        <f>SUM(E5:E20)</f>
        <v>12186916</v>
      </c>
      <c r="F21" s="225">
        <f t="shared" ref="F21:J21" si="4">SUM(F5:F20)</f>
        <v>7727555</v>
      </c>
      <c r="G21" s="225">
        <f t="shared" si="4"/>
        <v>5595491</v>
      </c>
      <c r="H21" s="225">
        <f t="shared" si="4"/>
        <v>6012849</v>
      </c>
      <c r="I21" s="225">
        <f t="shared" si="4"/>
        <v>4200</v>
      </c>
      <c r="J21" s="225">
        <f t="shared" si="4"/>
        <v>6017049</v>
      </c>
      <c r="K21" s="303">
        <f t="shared" si="0"/>
        <v>45.913921126559011</v>
      </c>
      <c r="L21" s="217"/>
      <c r="M21" s="209"/>
      <c r="N21" s="208"/>
      <c r="O21" s="208"/>
    </row>
    <row r="22" spans="1:15" ht="26.25" customHeight="1" thickTop="1">
      <c r="A22" s="1137" t="s">
        <v>589</v>
      </c>
      <c r="B22" s="1137"/>
      <c r="C22" s="1137"/>
      <c r="D22" s="1137"/>
      <c r="E22" s="1137"/>
      <c r="F22" s="1137"/>
      <c r="G22" s="1137"/>
      <c r="H22" s="1137"/>
    </row>
    <row r="23" spans="1:15" ht="5.25" customHeight="1"/>
    <row r="24" spans="1:15" s="206" customFormat="1" ht="24" customHeight="1">
      <c r="A24" s="1135" t="s">
        <v>509</v>
      </c>
      <c r="B24" s="1135"/>
      <c r="C24" s="1135"/>
      <c r="D24" s="1135"/>
      <c r="E24" s="1135"/>
      <c r="F24" s="1135"/>
      <c r="G24" s="1135"/>
      <c r="H24" s="1135"/>
      <c r="I24" s="1135"/>
      <c r="J24" s="362"/>
      <c r="K24" s="362"/>
      <c r="L24" s="217"/>
      <c r="M24" s="209"/>
      <c r="N24" s="208"/>
      <c r="O24" s="208"/>
    </row>
    <row r="25" spans="1:15" s="206" customFormat="1" ht="14.25" customHeight="1">
      <c r="A25" s="1138" t="s">
        <v>292</v>
      </c>
      <c r="B25" s="1138"/>
      <c r="C25" s="1138"/>
      <c r="D25" s="1138"/>
      <c r="E25" s="1138"/>
      <c r="F25" s="1138"/>
      <c r="G25" s="1138"/>
      <c r="H25" s="1138"/>
      <c r="I25" s="1138"/>
      <c r="J25" s="1138"/>
      <c r="K25" s="1138"/>
      <c r="L25" s="217"/>
      <c r="M25" s="209"/>
      <c r="N25" s="208"/>
      <c r="O25" s="208"/>
    </row>
    <row r="26" spans="1:15" s="206" customFormat="1" ht="11.25" customHeight="1">
      <c r="A26" s="1138"/>
      <c r="B26" s="1138"/>
      <c r="C26" s="1138"/>
      <c r="D26" s="1138"/>
      <c r="E26" s="1138"/>
      <c r="F26" s="1138"/>
      <c r="G26" s="1138"/>
      <c r="H26" s="1138"/>
      <c r="I26" s="219"/>
      <c r="J26" s="221"/>
      <c r="K26" s="217"/>
      <c r="L26" s="217"/>
      <c r="M26" s="209"/>
      <c r="N26" s="208"/>
      <c r="O26" s="208"/>
    </row>
    <row r="27" spans="1:15" ht="24.75" customHeight="1">
      <c r="A27" s="1132" t="s">
        <v>228</v>
      </c>
      <c r="B27" s="1132"/>
      <c r="C27" s="1132"/>
      <c r="D27" s="1132"/>
      <c r="E27" s="1132"/>
      <c r="F27" s="1132"/>
      <c r="G27" s="1132"/>
      <c r="H27" s="1132"/>
      <c r="I27" s="1132"/>
      <c r="J27" s="621"/>
      <c r="K27" s="631">
        <v>30</v>
      </c>
      <c r="L27" s="12"/>
      <c r="M27" s="12"/>
      <c r="N27" s="12"/>
      <c r="O27" s="12"/>
    </row>
  </sheetData>
  <mergeCells count="11">
    <mergeCell ref="A27:I27"/>
    <mergeCell ref="A1:K1"/>
    <mergeCell ref="A2:K2"/>
    <mergeCell ref="A3:A4"/>
    <mergeCell ref="B3:C3"/>
    <mergeCell ref="H3:J3"/>
    <mergeCell ref="K3:K4"/>
    <mergeCell ref="A26:H26"/>
    <mergeCell ref="A25:K25"/>
    <mergeCell ref="A24:I24"/>
    <mergeCell ref="A22:H22"/>
  </mergeCells>
  <printOptions horizontalCentered="1"/>
  <pageMargins left="0.51180993000874886" right="0.51180993000874886" top="0.55118110236220474" bottom="0.55118110236220474" header="0.31496062992125984" footer="0.31496062992125984"/>
  <pageSetup paperSize="9" scale="8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V30"/>
  <sheetViews>
    <sheetView rightToLeft="1" view="pageBreakPreview" zoomScale="90" zoomScaleSheetLayoutView="90" workbookViewId="0">
      <pane ySplit="4" topLeftCell="A5" activePane="bottomLeft" state="frozen"/>
      <selection pane="bottomLeft" activeCell="L25" sqref="L25"/>
    </sheetView>
  </sheetViews>
  <sheetFormatPr defaultColWidth="10.42578125" defaultRowHeight="15"/>
  <cols>
    <col min="1" max="1" width="11.140625" customWidth="1"/>
    <col min="2" max="3" width="8.42578125" customWidth="1"/>
    <col min="4" max="4" width="12" customWidth="1"/>
    <col min="5" max="5" width="13.42578125" customWidth="1"/>
    <col min="6" max="6" width="11.85546875" customWidth="1"/>
    <col min="7" max="7" width="14.5703125" customWidth="1"/>
    <col min="8" max="8" width="13.28515625" customWidth="1"/>
    <col min="9" max="11" width="11.85546875" customWidth="1"/>
    <col min="12" max="12" width="14.5703125" customWidth="1"/>
  </cols>
  <sheetData>
    <row r="1" spans="1:22" ht="33" customHeight="1">
      <c r="A1" s="1140" t="s">
        <v>577</v>
      </c>
      <c r="B1" s="1140"/>
      <c r="C1" s="1140"/>
      <c r="D1" s="1140"/>
      <c r="E1" s="1140"/>
      <c r="F1" s="1140"/>
      <c r="G1" s="1140"/>
      <c r="H1" s="1140"/>
      <c r="I1" s="1140"/>
      <c r="J1" s="1140"/>
      <c r="K1" s="1140"/>
      <c r="L1" s="1140"/>
    </row>
    <row r="2" spans="1:22" ht="23.25" customHeight="1" thickBot="1">
      <c r="A2" s="1141" t="s">
        <v>340</v>
      </c>
      <c r="B2" s="1141"/>
      <c r="C2" s="1141"/>
      <c r="D2" s="1141"/>
      <c r="E2" s="1141"/>
      <c r="F2" s="1141"/>
      <c r="G2" s="1141"/>
      <c r="H2" s="1141"/>
      <c r="I2" s="1141"/>
      <c r="J2" s="1141"/>
      <c r="K2" s="1141"/>
      <c r="L2" s="1141"/>
    </row>
    <row r="3" spans="1:22" ht="41.25" customHeight="1" thickTop="1">
      <c r="A3" s="1068" t="s">
        <v>57</v>
      </c>
      <c r="B3" s="1116" t="s">
        <v>231</v>
      </c>
      <c r="C3" s="1116"/>
      <c r="D3" s="949" t="s">
        <v>250</v>
      </c>
      <c r="E3" s="330" t="s">
        <v>250</v>
      </c>
      <c r="F3" s="330" t="s">
        <v>305</v>
      </c>
      <c r="G3" s="330" t="s">
        <v>516</v>
      </c>
      <c r="H3" s="1116" t="s">
        <v>307</v>
      </c>
      <c r="I3" s="1116"/>
      <c r="J3" s="1116"/>
      <c r="K3" s="1116"/>
      <c r="L3" s="1142" t="s">
        <v>232</v>
      </c>
    </row>
    <row r="4" spans="1:22" ht="25.5" customHeight="1">
      <c r="A4" s="1128"/>
      <c r="B4" s="964" t="s">
        <v>249</v>
      </c>
      <c r="C4" s="964" t="s">
        <v>227</v>
      </c>
      <c r="D4" s="951" t="s">
        <v>571</v>
      </c>
      <c r="E4" s="969" t="s">
        <v>251</v>
      </c>
      <c r="F4" s="969" t="s">
        <v>251</v>
      </c>
      <c r="G4" s="969" t="s">
        <v>251</v>
      </c>
      <c r="H4" s="153" t="s">
        <v>255</v>
      </c>
      <c r="I4" s="153" t="s">
        <v>252</v>
      </c>
      <c r="J4" s="153" t="s">
        <v>253</v>
      </c>
      <c r="K4" s="153" t="s">
        <v>23</v>
      </c>
      <c r="L4" s="1143"/>
    </row>
    <row r="5" spans="1:22" s="16" customFormat="1" ht="23.25" customHeight="1">
      <c r="A5" s="968" t="s">
        <v>58</v>
      </c>
      <c r="B5" s="966">
        <v>0</v>
      </c>
      <c r="C5" s="963">
        <f>B5/$B$21*100</f>
        <v>0</v>
      </c>
      <c r="D5" s="690">
        <v>0</v>
      </c>
      <c r="E5" s="690">
        <v>0</v>
      </c>
      <c r="F5" s="690">
        <v>0</v>
      </c>
      <c r="G5" s="690">
        <v>0</v>
      </c>
      <c r="H5" s="690">
        <v>0</v>
      </c>
      <c r="I5" s="585">
        <v>0</v>
      </c>
      <c r="J5" s="585">
        <v>0</v>
      </c>
      <c r="K5" s="585">
        <f t="shared" ref="K5" si="0">SUM(H5:J5)</f>
        <v>0</v>
      </c>
      <c r="L5" s="963">
        <v>0</v>
      </c>
    </row>
    <row r="6" spans="1:22" s="249" customFormat="1" ht="23.25" customHeight="1">
      <c r="A6" s="455" t="s">
        <v>59</v>
      </c>
      <c r="B6" s="580">
        <v>13</v>
      </c>
      <c r="C6" s="433">
        <f t="shared" ref="C6:C21" si="1">B6/$B$21*100</f>
        <v>4.1533546325878596</v>
      </c>
      <c r="D6" s="270">
        <v>169</v>
      </c>
      <c r="E6" s="458">
        <v>4056</v>
      </c>
      <c r="F6" s="458">
        <v>2028</v>
      </c>
      <c r="G6" s="458">
        <v>609</v>
      </c>
      <c r="H6" s="458">
        <v>0</v>
      </c>
      <c r="I6" s="354">
        <v>0</v>
      </c>
      <c r="J6" s="354">
        <v>639</v>
      </c>
      <c r="K6" s="354">
        <f>J6+I6+H6</f>
        <v>639</v>
      </c>
      <c r="L6" s="433">
        <f>G6/E6*100</f>
        <v>15.014792899408283</v>
      </c>
      <c r="M6" s="431"/>
      <c r="N6" s="431"/>
      <c r="P6" s="459"/>
    </row>
    <row r="7" spans="1:22" s="249" customFormat="1" ht="23.25" customHeight="1">
      <c r="A7" s="926" t="s">
        <v>60</v>
      </c>
      <c r="B7" s="214">
        <v>36</v>
      </c>
      <c r="C7" s="433">
        <f t="shared" si="1"/>
        <v>11.501597444089457</v>
      </c>
      <c r="D7" s="270">
        <v>82</v>
      </c>
      <c r="E7" s="270">
        <v>1968</v>
      </c>
      <c r="F7" s="270">
        <v>115</v>
      </c>
      <c r="G7" s="270">
        <v>39</v>
      </c>
      <c r="H7" s="270">
        <v>0</v>
      </c>
      <c r="I7" s="215">
        <v>0</v>
      </c>
      <c r="J7" s="215">
        <v>50</v>
      </c>
      <c r="K7" s="354">
        <f t="shared" ref="K7:K20" si="2">J7+I7+H7</f>
        <v>50</v>
      </c>
      <c r="L7" s="433">
        <f t="shared" ref="L7:L20" si="3">G7/E7*100</f>
        <v>1.9817073170731707</v>
      </c>
      <c r="M7" s="431"/>
      <c r="N7" s="431"/>
      <c r="O7" s="1139"/>
      <c r="P7" s="1139"/>
      <c r="Q7" s="1139"/>
      <c r="R7" s="1139"/>
      <c r="S7" s="1139"/>
      <c r="T7" s="1139"/>
      <c r="U7" s="1139"/>
      <c r="V7" s="450"/>
    </row>
    <row r="8" spans="1:22" s="249" customFormat="1" ht="23.25" customHeight="1">
      <c r="A8" s="549" t="s">
        <v>296</v>
      </c>
      <c r="B8" s="214">
        <v>26</v>
      </c>
      <c r="C8" s="433">
        <f t="shared" si="1"/>
        <v>8.3067092651757193</v>
      </c>
      <c r="D8" s="270">
        <v>130</v>
      </c>
      <c r="E8" s="270">
        <v>3120</v>
      </c>
      <c r="F8" s="270">
        <v>705</v>
      </c>
      <c r="G8" s="270">
        <v>587</v>
      </c>
      <c r="H8" s="270">
        <v>0</v>
      </c>
      <c r="I8" s="215">
        <v>0</v>
      </c>
      <c r="J8" s="215">
        <v>1174</v>
      </c>
      <c r="K8" s="354">
        <f t="shared" si="2"/>
        <v>1174</v>
      </c>
      <c r="L8" s="433">
        <f t="shared" si="3"/>
        <v>18.814102564102562</v>
      </c>
      <c r="M8" s="431"/>
      <c r="N8" s="431"/>
      <c r="O8" s="550"/>
      <c r="P8" s="550"/>
      <c r="Q8" s="550"/>
      <c r="R8" s="550"/>
      <c r="S8" s="550"/>
      <c r="T8" s="550"/>
      <c r="U8" s="550"/>
      <c r="V8" s="450"/>
    </row>
    <row r="9" spans="1:22" s="249" customFormat="1" ht="23.25" customHeight="1">
      <c r="A9" s="894" t="s">
        <v>71</v>
      </c>
      <c r="B9" s="214">
        <v>0</v>
      </c>
      <c r="C9" s="433">
        <f t="shared" si="1"/>
        <v>0</v>
      </c>
      <c r="D9" s="270">
        <v>0</v>
      </c>
      <c r="E9" s="270">
        <v>0</v>
      </c>
      <c r="F9" s="270">
        <v>0</v>
      </c>
      <c r="G9" s="270">
        <v>0</v>
      </c>
      <c r="H9" s="270">
        <v>0</v>
      </c>
      <c r="I9" s="215">
        <v>0</v>
      </c>
      <c r="J9" s="215">
        <v>0</v>
      </c>
      <c r="K9" s="354">
        <f t="shared" si="2"/>
        <v>0</v>
      </c>
      <c r="L9" s="433">
        <v>0</v>
      </c>
      <c r="M9" s="431"/>
      <c r="N9" s="431"/>
      <c r="O9" s="355"/>
      <c r="P9" s="432"/>
      <c r="Q9" s="356"/>
      <c r="R9" s="356"/>
      <c r="S9" s="434"/>
      <c r="T9" s="434"/>
      <c r="U9" s="434"/>
    </row>
    <row r="10" spans="1:22" s="249" customFormat="1" ht="23.25" customHeight="1">
      <c r="A10" s="899" t="s">
        <v>62</v>
      </c>
      <c r="B10" s="214">
        <v>0</v>
      </c>
      <c r="C10" s="433">
        <f t="shared" si="1"/>
        <v>0</v>
      </c>
      <c r="D10" s="270">
        <v>0</v>
      </c>
      <c r="E10" s="270">
        <v>0</v>
      </c>
      <c r="F10" s="270">
        <v>0</v>
      </c>
      <c r="G10" s="270">
        <v>0</v>
      </c>
      <c r="H10" s="270">
        <v>0</v>
      </c>
      <c r="I10" s="215">
        <v>0</v>
      </c>
      <c r="J10" s="215">
        <v>0</v>
      </c>
      <c r="K10" s="354">
        <v>0</v>
      </c>
      <c r="L10" s="433">
        <v>0</v>
      </c>
      <c r="M10" s="431"/>
      <c r="N10" s="431"/>
      <c r="O10" s="465"/>
      <c r="P10" s="432"/>
      <c r="Q10" s="356"/>
      <c r="R10" s="356"/>
      <c r="S10" s="434"/>
      <c r="T10" s="434"/>
      <c r="U10" s="434"/>
    </row>
    <row r="11" spans="1:22" s="249" customFormat="1" ht="23.25" customHeight="1">
      <c r="A11" s="577" t="s">
        <v>64</v>
      </c>
      <c r="B11" s="214">
        <v>0</v>
      </c>
      <c r="C11" s="433">
        <f t="shared" si="1"/>
        <v>0</v>
      </c>
      <c r="D11" s="270">
        <v>0</v>
      </c>
      <c r="E11" s="270">
        <v>0</v>
      </c>
      <c r="F11" s="270">
        <v>0</v>
      </c>
      <c r="G11" s="270">
        <v>0</v>
      </c>
      <c r="H11" s="270">
        <v>0</v>
      </c>
      <c r="I11" s="215">
        <v>0</v>
      </c>
      <c r="J11" s="215">
        <v>0</v>
      </c>
      <c r="K11" s="354">
        <f t="shared" si="2"/>
        <v>0</v>
      </c>
      <c r="L11" s="433">
        <v>0</v>
      </c>
      <c r="M11" s="431"/>
      <c r="N11" s="431"/>
      <c r="O11" s="465"/>
      <c r="P11" s="432"/>
      <c r="Q11" s="355"/>
      <c r="R11" s="355"/>
    </row>
    <row r="12" spans="1:22" s="249" customFormat="1" ht="23.25" customHeight="1">
      <c r="A12" s="587" t="s">
        <v>56</v>
      </c>
      <c r="B12" s="214">
        <v>4</v>
      </c>
      <c r="C12" s="433">
        <f t="shared" si="1"/>
        <v>1.2779552715654952</v>
      </c>
      <c r="D12" s="270">
        <v>57</v>
      </c>
      <c r="E12" s="270">
        <v>1368</v>
      </c>
      <c r="F12" s="270">
        <v>570</v>
      </c>
      <c r="G12" s="270">
        <v>342</v>
      </c>
      <c r="H12" s="421">
        <v>0</v>
      </c>
      <c r="I12" s="211">
        <v>0</v>
      </c>
      <c r="J12" s="211">
        <v>376</v>
      </c>
      <c r="K12" s="354">
        <f t="shared" si="2"/>
        <v>376</v>
      </c>
      <c r="L12" s="433">
        <f t="shared" si="3"/>
        <v>25</v>
      </c>
      <c r="M12" s="431"/>
      <c r="N12" s="431"/>
      <c r="O12" s="495"/>
      <c r="P12" s="432"/>
      <c r="Q12" s="355"/>
      <c r="R12" s="355"/>
    </row>
    <row r="13" spans="1:22" s="249" customFormat="1" ht="23.25" customHeight="1">
      <c r="A13" s="579" t="s">
        <v>63</v>
      </c>
      <c r="B13" s="214">
        <v>16</v>
      </c>
      <c r="C13" s="433">
        <f t="shared" si="1"/>
        <v>5.1118210862619806</v>
      </c>
      <c r="D13" s="270">
        <v>47</v>
      </c>
      <c r="E13" s="270">
        <v>1128</v>
      </c>
      <c r="F13" s="270">
        <v>959</v>
      </c>
      <c r="G13" s="270">
        <v>209</v>
      </c>
      <c r="H13" s="270">
        <v>91</v>
      </c>
      <c r="I13" s="215">
        <v>0</v>
      </c>
      <c r="J13" s="215">
        <v>128</v>
      </c>
      <c r="K13" s="354">
        <f t="shared" si="2"/>
        <v>219</v>
      </c>
      <c r="L13" s="433">
        <f t="shared" si="3"/>
        <v>18.528368794326241</v>
      </c>
      <c r="M13" s="431"/>
      <c r="N13" s="431"/>
      <c r="O13" s="495"/>
      <c r="P13" s="432"/>
      <c r="Q13" s="355"/>
      <c r="R13" s="355"/>
    </row>
    <row r="14" spans="1:22" s="249" customFormat="1" ht="23.25" customHeight="1">
      <c r="A14" s="574" t="s">
        <v>254</v>
      </c>
      <c r="B14" s="466">
        <v>9</v>
      </c>
      <c r="C14" s="433">
        <f t="shared" si="1"/>
        <v>2.8753993610223643</v>
      </c>
      <c r="D14" s="270">
        <v>76</v>
      </c>
      <c r="E14" s="270">
        <v>1824</v>
      </c>
      <c r="F14" s="270">
        <v>1550</v>
      </c>
      <c r="G14" s="270">
        <v>760</v>
      </c>
      <c r="H14" s="270">
        <v>0</v>
      </c>
      <c r="I14" s="215">
        <v>0</v>
      </c>
      <c r="J14" s="215">
        <v>836</v>
      </c>
      <c r="K14" s="354">
        <f t="shared" si="2"/>
        <v>836</v>
      </c>
      <c r="L14" s="433">
        <f t="shared" si="3"/>
        <v>41.666666666666671</v>
      </c>
      <c r="M14" s="431"/>
      <c r="N14" s="431"/>
      <c r="O14" s="574"/>
      <c r="P14" s="432"/>
      <c r="Q14" s="355"/>
      <c r="R14" s="355"/>
    </row>
    <row r="15" spans="1:22" s="248" customFormat="1" ht="23.25" customHeight="1">
      <c r="A15" s="589" t="s">
        <v>65</v>
      </c>
      <c r="B15" s="214">
        <v>8</v>
      </c>
      <c r="C15" s="433">
        <f t="shared" si="1"/>
        <v>2.5559105431309903</v>
      </c>
      <c r="D15" s="270">
        <v>105</v>
      </c>
      <c r="E15" s="270">
        <v>2520</v>
      </c>
      <c r="F15" s="270">
        <v>1632</v>
      </c>
      <c r="G15" s="270">
        <v>1600</v>
      </c>
      <c r="H15" s="270">
        <v>0</v>
      </c>
      <c r="I15" s="215">
        <v>0</v>
      </c>
      <c r="J15" s="215">
        <v>1800</v>
      </c>
      <c r="K15" s="354">
        <f t="shared" si="2"/>
        <v>1800</v>
      </c>
      <c r="L15" s="433">
        <f t="shared" si="3"/>
        <v>63.492063492063487</v>
      </c>
      <c r="M15" s="431"/>
      <c r="N15" s="431"/>
      <c r="O15" s="589"/>
      <c r="P15" s="432"/>
      <c r="Q15" s="355"/>
      <c r="R15" s="355"/>
    </row>
    <row r="16" spans="1:22" s="248" customFormat="1" ht="23.25" customHeight="1">
      <c r="A16" s="899" t="s">
        <v>66</v>
      </c>
      <c r="B16" s="214">
        <v>25</v>
      </c>
      <c r="C16" s="433">
        <f t="shared" si="1"/>
        <v>7.9872204472843444</v>
      </c>
      <c r="D16" s="270">
        <v>49</v>
      </c>
      <c r="E16" s="270">
        <v>1176</v>
      </c>
      <c r="F16" s="908">
        <v>120</v>
      </c>
      <c r="G16" s="270">
        <v>100</v>
      </c>
      <c r="H16" s="270">
        <v>0</v>
      </c>
      <c r="I16" s="215">
        <v>130</v>
      </c>
      <c r="J16" s="215">
        <v>0</v>
      </c>
      <c r="K16" s="354">
        <f t="shared" si="2"/>
        <v>130</v>
      </c>
      <c r="L16" s="433">
        <f t="shared" si="3"/>
        <v>8.5034013605442169</v>
      </c>
      <c r="M16" s="431"/>
      <c r="N16" s="431"/>
      <c r="O16" s="355"/>
      <c r="P16" s="432"/>
      <c r="Q16" s="355"/>
      <c r="R16" s="355"/>
    </row>
    <row r="17" spans="1:18" s="248" customFormat="1" ht="23.25" customHeight="1">
      <c r="A17" s="548" t="s">
        <v>67</v>
      </c>
      <c r="B17" s="214">
        <v>45</v>
      </c>
      <c r="C17" s="433">
        <f t="shared" si="1"/>
        <v>14.376996805111823</v>
      </c>
      <c r="D17" s="270">
        <v>1204</v>
      </c>
      <c r="E17" s="270">
        <v>28896</v>
      </c>
      <c r="F17" s="270">
        <v>840</v>
      </c>
      <c r="G17" s="270">
        <v>840</v>
      </c>
      <c r="H17" s="270">
        <v>1000</v>
      </c>
      <c r="I17" s="215">
        <v>0</v>
      </c>
      <c r="J17" s="215">
        <v>500</v>
      </c>
      <c r="K17" s="354">
        <f t="shared" si="2"/>
        <v>1500</v>
      </c>
      <c r="L17" s="433">
        <f t="shared" si="3"/>
        <v>2.9069767441860463</v>
      </c>
      <c r="M17" s="431"/>
      <c r="N17" s="431"/>
      <c r="O17" s="355"/>
      <c r="P17" s="432"/>
      <c r="Q17" s="355"/>
      <c r="R17" s="355"/>
    </row>
    <row r="18" spans="1:18" s="248" customFormat="1" ht="23.25" customHeight="1">
      <c r="A18" s="574" t="s">
        <v>68</v>
      </c>
      <c r="B18" s="214">
        <v>76</v>
      </c>
      <c r="C18" s="433">
        <f t="shared" si="1"/>
        <v>24.281150159744406</v>
      </c>
      <c r="D18" s="270">
        <v>990</v>
      </c>
      <c r="E18" s="270">
        <v>23760</v>
      </c>
      <c r="F18" s="270">
        <v>2343</v>
      </c>
      <c r="G18" s="270">
        <v>1593</v>
      </c>
      <c r="H18" s="270">
        <v>740</v>
      </c>
      <c r="I18" s="215">
        <v>976</v>
      </c>
      <c r="J18" s="215">
        <v>0</v>
      </c>
      <c r="K18" s="354">
        <f t="shared" si="2"/>
        <v>1716</v>
      </c>
      <c r="L18" s="433">
        <f t="shared" si="3"/>
        <v>6.704545454545455</v>
      </c>
      <c r="M18" s="431"/>
      <c r="N18" s="431"/>
      <c r="O18" s="355"/>
      <c r="P18" s="432"/>
      <c r="Q18" s="355"/>
      <c r="R18" s="355"/>
    </row>
    <row r="19" spans="1:18" s="248" customFormat="1" ht="23.25" customHeight="1">
      <c r="A19" s="578" t="s">
        <v>69</v>
      </c>
      <c r="B19" s="214">
        <v>12</v>
      </c>
      <c r="C19" s="433">
        <f t="shared" si="1"/>
        <v>3.8338658146964857</v>
      </c>
      <c r="D19" s="270">
        <v>300</v>
      </c>
      <c r="E19" s="270">
        <v>7200</v>
      </c>
      <c r="F19" s="270">
        <v>4860</v>
      </c>
      <c r="G19" s="270">
        <v>3350</v>
      </c>
      <c r="H19" s="270">
        <v>4082</v>
      </c>
      <c r="I19" s="215">
        <v>0</v>
      </c>
      <c r="J19" s="215">
        <v>0</v>
      </c>
      <c r="K19" s="354">
        <f t="shared" si="2"/>
        <v>4082</v>
      </c>
      <c r="L19" s="433">
        <f t="shared" si="3"/>
        <v>46.527777777777779</v>
      </c>
      <c r="M19" s="431"/>
      <c r="N19" s="431"/>
      <c r="O19" s="355"/>
      <c r="P19" s="432"/>
      <c r="Q19" s="355"/>
      <c r="R19" s="355"/>
    </row>
    <row r="20" spans="1:18" s="248" customFormat="1" ht="23.25" customHeight="1" thickBot="1">
      <c r="A20" s="216" t="s">
        <v>70</v>
      </c>
      <c r="B20" s="214">
        <v>43</v>
      </c>
      <c r="C20" s="433">
        <f t="shared" si="1"/>
        <v>13.738019169329075</v>
      </c>
      <c r="D20" s="270">
        <v>2123</v>
      </c>
      <c r="E20" s="421">
        <v>50952</v>
      </c>
      <c r="F20" s="421">
        <v>17809</v>
      </c>
      <c r="G20" s="421">
        <v>9029</v>
      </c>
      <c r="H20" s="421">
        <v>15800</v>
      </c>
      <c r="I20" s="211">
        <v>0</v>
      </c>
      <c r="J20" s="211">
        <v>0</v>
      </c>
      <c r="K20" s="354">
        <f t="shared" si="2"/>
        <v>15800</v>
      </c>
      <c r="L20" s="433">
        <f t="shared" si="3"/>
        <v>17.720599780185271</v>
      </c>
      <c r="M20" s="431"/>
      <c r="N20" s="431"/>
      <c r="O20" s="355"/>
      <c r="P20" s="432"/>
      <c r="Q20" s="355"/>
      <c r="R20" s="355"/>
    </row>
    <row r="21" spans="1:18" s="206" customFormat="1" ht="23.25" customHeight="1" thickTop="1" thickBot="1">
      <c r="A21" s="222" t="s">
        <v>280</v>
      </c>
      <c r="B21" s="224">
        <f>SUM(B5:B20)</f>
        <v>313</v>
      </c>
      <c r="C21" s="229">
        <f t="shared" si="1"/>
        <v>100</v>
      </c>
      <c r="D21" s="224">
        <f>SUM(D5:D20)</f>
        <v>5332</v>
      </c>
      <c r="E21" s="224">
        <f>SUM(E5:E20)</f>
        <v>127968</v>
      </c>
      <c r="F21" s="224">
        <f>SUM(F5:F20)</f>
        <v>33531</v>
      </c>
      <c r="G21" s="224">
        <f>SUM(G5:G20)</f>
        <v>19058</v>
      </c>
      <c r="H21" s="224">
        <f t="shared" ref="H21:J21" si="4">SUM(H5:H20)</f>
        <v>21713</v>
      </c>
      <c r="I21" s="224">
        <f t="shared" si="4"/>
        <v>1106</v>
      </c>
      <c r="J21" s="224">
        <f t="shared" si="4"/>
        <v>5503</v>
      </c>
      <c r="K21" s="224">
        <f>SUM(H21:J21)</f>
        <v>28322</v>
      </c>
      <c r="L21" s="663">
        <f>G21/E21*100</f>
        <v>14.892785696424108</v>
      </c>
      <c r="M21" s="217"/>
      <c r="N21" s="217"/>
      <c r="O21" s="217"/>
      <c r="P21" s="209"/>
      <c r="Q21" s="208"/>
      <c r="R21" s="208"/>
    </row>
    <row r="22" spans="1:18" ht="26.25" customHeight="1" thickTop="1">
      <c r="A22" s="1137" t="s">
        <v>589</v>
      </c>
      <c r="B22" s="1137"/>
      <c r="C22" s="1137"/>
      <c r="D22" s="1137"/>
      <c r="E22" s="1137"/>
      <c r="F22" s="1137"/>
      <c r="G22" s="1137"/>
      <c r="H22" s="1137"/>
    </row>
    <row r="23" spans="1:18" s="206" customFormat="1" ht="21" customHeight="1">
      <c r="A23" s="1135" t="s">
        <v>509</v>
      </c>
      <c r="B23" s="1135"/>
      <c r="C23" s="1135"/>
      <c r="D23" s="1135"/>
      <c r="E23" s="1135"/>
      <c r="F23" s="1135"/>
      <c r="G23" s="1135"/>
      <c r="H23" s="1135"/>
      <c r="I23"/>
      <c r="J23"/>
      <c r="K23"/>
      <c r="L23" s="217"/>
      <c r="M23" s="209"/>
      <c r="N23" s="208"/>
      <c r="O23" s="208"/>
    </row>
    <row r="24" spans="1:18" s="206" customFormat="1" ht="21" customHeight="1">
      <c r="A24" s="1138" t="s">
        <v>292</v>
      </c>
      <c r="B24" s="1138"/>
      <c r="C24" s="1138"/>
      <c r="D24" s="1138"/>
      <c r="E24" s="1138"/>
      <c r="F24" s="952"/>
      <c r="G24" s="952"/>
      <c r="H24" s="952"/>
      <c r="I24" s="219"/>
      <c r="J24" s="219"/>
      <c r="K24" s="221"/>
      <c r="L24" s="217"/>
      <c r="M24" s="217"/>
      <c r="N24" s="209"/>
      <c r="O24" s="208"/>
      <c r="P24" s="208"/>
    </row>
    <row r="25" spans="1:18" ht="21.75" customHeight="1">
      <c r="A25" s="1132" t="s">
        <v>228</v>
      </c>
      <c r="B25" s="1132"/>
      <c r="C25" s="1132"/>
      <c r="D25" s="1132"/>
      <c r="E25" s="1132"/>
      <c r="F25" s="1132"/>
      <c r="G25" s="1132"/>
      <c r="H25" s="1132"/>
      <c r="I25" s="1132"/>
      <c r="J25" s="1132"/>
      <c r="K25" s="1132"/>
      <c r="L25" s="631">
        <v>31</v>
      </c>
      <c r="M25" s="12"/>
      <c r="N25" s="12"/>
      <c r="O25" s="12"/>
      <c r="P25" s="12"/>
      <c r="Q25" s="12"/>
      <c r="R25" s="12"/>
    </row>
    <row r="26" spans="1:18">
      <c r="M26" s="12"/>
      <c r="N26" s="12"/>
      <c r="O26" s="12"/>
      <c r="P26" s="12"/>
      <c r="Q26" s="12"/>
      <c r="R26" s="12"/>
    </row>
    <row r="27" spans="1:18">
      <c r="M27" s="12"/>
      <c r="N27" s="12"/>
      <c r="O27" s="12"/>
      <c r="P27" s="12"/>
      <c r="Q27" s="12"/>
      <c r="R27" s="12"/>
    </row>
    <row r="28" spans="1:18">
      <c r="H28" s="353"/>
      <c r="M28" s="12"/>
      <c r="N28" s="12"/>
      <c r="O28" s="12"/>
      <c r="P28" s="12"/>
      <c r="Q28" s="12"/>
      <c r="R28" s="12"/>
    </row>
    <row r="29" spans="1:18">
      <c r="M29" s="12"/>
      <c r="N29" s="12"/>
      <c r="O29" s="12"/>
      <c r="P29" s="12"/>
      <c r="Q29" s="12"/>
      <c r="R29" s="12"/>
    </row>
    <row r="30" spans="1:18">
      <c r="M30" s="12"/>
      <c r="N30" s="12"/>
      <c r="O30" s="12"/>
      <c r="P30" s="12"/>
      <c r="Q30" s="12"/>
      <c r="R30" s="12"/>
    </row>
  </sheetData>
  <mergeCells count="11">
    <mergeCell ref="O7:U7"/>
    <mergeCell ref="A25:K25"/>
    <mergeCell ref="A1:L1"/>
    <mergeCell ref="A2:L2"/>
    <mergeCell ref="A3:A4"/>
    <mergeCell ref="B3:C3"/>
    <mergeCell ref="L3:L4"/>
    <mergeCell ref="H3:K3"/>
    <mergeCell ref="A23:H23"/>
    <mergeCell ref="A24:E24"/>
    <mergeCell ref="A22:H22"/>
  </mergeCells>
  <printOptions horizontalCentered="1"/>
  <pageMargins left="0.51180993000874886" right="0.51180993000874886" top="0.55118110236220474" bottom="0.55118110236220474" header="0.31496062992125984" footer="0.31496062992125984"/>
  <pageSetup paperSize="9" scale="8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V30"/>
  <sheetViews>
    <sheetView rightToLeft="1" view="pageBreakPreview" zoomScaleSheetLayoutView="100" workbookViewId="0">
      <pane ySplit="4" topLeftCell="A5" activePane="bottomLeft" state="frozen"/>
      <selection pane="bottomLeft" activeCell="L25" sqref="L25"/>
    </sheetView>
  </sheetViews>
  <sheetFormatPr defaultColWidth="10.42578125" defaultRowHeight="15"/>
  <cols>
    <col min="1" max="1" width="11.85546875" customWidth="1"/>
    <col min="2" max="3" width="8.5703125" customWidth="1"/>
    <col min="4" max="4" width="0.85546875" customWidth="1"/>
    <col min="5" max="6" width="8.5703125" customWidth="1"/>
    <col min="7" max="10" width="14.140625" customWidth="1"/>
    <col min="11" max="11" width="19" customWidth="1"/>
    <col min="12" max="12" width="14.5703125" customWidth="1"/>
  </cols>
  <sheetData>
    <row r="1" spans="1:22" ht="20.25" customHeight="1">
      <c r="A1" s="1140" t="s">
        <v>578</v>
      </c>
      <c r="B1" s="1140"/>
      <c r="C1" s="1140"/>
      <c r="D1" s="1140"/>
      <c r="E1" s="1140"/>
      <c r="F1" s="1140"/>
      <c r="G1" s="1140"/>
      <c r="H1" s="1140"/>
      <c r="I1" s="1140"/>
      <c r="J1" s="1140"/>
      <c r="K1" s="1140"/>
      <c r="L1" s="1140"/>
    </row>
    <row r="2" spans="1:22" ht="20.25" customHeight="1" thickBot="1">
      <c r="A2" s="1141" t="s">
        <v>341</v>
      </c>
      <c r="B2" s="1141"/>
      <c r="C2" s="1141"/>
      <c r="D2" s="1141"/>
      <c r="E2" s="1141"/>
      <c r="F2" s="1141"/>
      <c r="G2" s="1141"/>
      <c r="H2" s="1141"/>
      <c r="I2" s="1141"/>
      <c r="J2" s="1141"/>
      <c r="K2" s="1141"/>
      <c r="L2" s="1141"/>
    </row>
    <row r="3" spans="1:22" ht="30" customHeight="1" thickTop="1">
      <c r="A3" s="1068" t="s">
        <v>57</v>
      </c>
      <c r="B3" s="1116" t="s">
        <v>303</v>
      </c>
      <c r="C3" s="1116"/>
      <c r="D3" s="363"/>
      <c r="E3" s="1116" t="s">
        <v>304</v>
      </c>
      <c r="F3" s="1116"/>
      <c r="G3" s="949" t="s">
        <v>250</v>
      </c>
      <c r="H3" s="330" t="s">
        <v>250</v>
      </c>
      <c r="I3" s="330" t="s">
        <v>305</v>
      </c>
      <c r="J3" s="330" t="s">
        <v>306</v>
      </c>
      <c r="K3" s="1068" t="s">
        <v>308</v>
      </c>
      <c r="L3" s="1068" t="s">
        <v>230</v>
      </c>
    </row>
    <row r="4" spans="1:22" ht="25.5" customHeight="1">
      <c r="A4" s="1128"/>
      <c r="B4" s="964" t="s">
        <v>249</v>
      </c>
      <c r="C4" s="964" t="s">
        <v>227</v>
      </c>
      <c r="D4" s="965"/>
      <c r="E4" s="964" t="s">
        <v>226</v>
      </c>
      <c r="F4" s="964" t="s">
        <v>227</v>
      </c>
      <c r="G4" s="951" t="s">
        <v>571</v>
      </c>
      <c r="H4" s="960" t="s">
        <v>251</v>
      </c>
      <c r="I4" s="960" t="s">
        <v>251</v>
      </c>
      <c r="J4" s="960" t="s">
        <v>251</v>
      </c>
      <c r="K4" s="1128"/>
      <c r="L4" s="1128"/>
    </row>
    <row r="5" spans="1:22" s="16" customFormat="1" ht="21.75" customHeight="1">
      <c r="A5" s="968" t="s">
        <v>58</v>
      </c>
      <c r="B5" s="966">
        <v>762</v>
      </c>
      <c r="C5" s="963">
        <f>B5/$B$21*100</f>
        <v>64.68590831918506</v>
      </c>
      <c r="D5" s="963"/>
      <c r="E5" s="967">
        <v>762</v>
      </c>
      <c r="F5" s="963">
        <f>E5/$E$21*100</f>
        <v>77.439024390243901</v>
      </c>
      <c r="G5" s="690">
        <v>15240</v>
      </c>
      <c r="H5" s="690">
        <v>365760</v>
      </c>
      <c r="I5" s="690">
        <v>292608</v>
      </c>
      <c r="J5" s="690">
        <v>123000</v>
      </c>
      <c r="K5" s="690">
        <v>123000</v>
      </c>
      <c r="L5" s="689">
        <f>J5/H5*100</f>
        <v>33.628608923884514</v>
      </c>
    </row>
    <row r="6" spans="1:22" s="249" customFormat="1" ht="21.75" customHeight="1">
      <c r="A6" s="455" t="s">
        <v>59</v>
      </c>
      <c r="B6" s="580">
        <v>395</v>
      </c>
      <c r="C6" s="433">
        <f t="shared" ref="C6:C21" si="0">B6/$B$21*100</f>
        <v>33.531409168081495</v>
      </c>
      <c r="D6" s="433"/>
      <c r="E6" s="435">
        <v>201</v>
      </c>
      <c r="F6" s="433">
        <f t="shared" ref="F6:F20" si="1">E6/$E$21*100</f>
        <v>20.426829268292682</v>
      </c>
      <c r="G6" s="458">
        <v>10214</v>
      </c>
      <c r="H6" s="458">
        <v>245136</v>
      </c>
      <c r="I6" s="458">
        <v>220612</v>
      </c>
      <c r="J6" s="458">
        <v>69975</v>
      </c>
      <c r="K6" s="458">
        <v>73474</v>
      </c>
      <c r="L6" s="551">
        <f t="shared" ref="L6:L16" si="2">J6/H6*100</f>
        <v>28.545378891717249</v>
      </c>
      <c r="M6" s="431"/>
      <c r="N6" s="431"/>
      <c r="P6" s="459"/>
    </row>
    <row r="7" spans="1:22" s="249" customFormat="1" ht="21.75" customHeight="1">
      <c r="A7" s="926" t="s">
        <v>60</v>
      </c>
      <c r="B7" s="214">
        <v>0</v>
      </c>
      <c r="C7" s="433">
        <f t="shared" ref="C7" si="3">B7/$B$21*100</f>
        <v>0</v>
      </c>
      <c r="D7" s="433"/>
      <c r="E7" s="435">
        <v>0</v>
      </c>
      <c r="F7" s="433">
        <f t="shared" si="1"/>
        <v>0</v>
      </c>
      <c r="G7" s="458">
        <v>0</v>
      </c>
      <c r="H7" s="270">
        <v>0</v>
      </c>
      <c r="I7" s="270">
        <v>0</v>
      </c>
      <c r="J7" s="270">
        <v>0</v>
      </c>
      <c r="K7" s="421">
        <v>0</v>
      </c>
      <c r="L7" s="551">
        <v>0</v>
      </c>
      <c r="M7" s="431"/>
      <c r="N7" s="431"/>
      <c r="O7" s="1139"/>
      <c r="P7" s="1139"/>
      <c r="Q7" s="1139"/>
      <c r="R7" s="1139"/>
      <c r="S7" s="1139"/>
      <c r="T7" s="1139"/>
      <c r="U7" s="1139"/>
      <c r="V7" s="450"/>
    </row>
    <row r="8" spans="1:22" s="249" customFormat="1" ht="21.75" customHeight="1">
      <c r="A8" s="549" t="s">
        <v>296</v>
      </c>
      <c r="B8" s="214">
        <v>0</v>
      </c>
      <c r="C8" s="433">
        <f t="shared" si="0"/>
        <v>0</v>
      </c>
      <c r="D8" s="433"/>
      <c r="E8" s="435">
        <v>0</v>
      </c>
      <c r="F8" s="433">
        <f t="shared" si="1"/>
        <v>0</v>
      </c>
      <c r="G8" s="458">
        <v>0</v>
      </c>
      <c r="H8" s="270">
        <v>0</v>
      </c>
      <c r="I8" s="270">
        <v>0</v>
      </c>
      <c r="J8" s="270">
        <v>0</v>
      </c>
      <c r="K8" s="421">
        <v>0</v>
      </c>
      <c r="L8" s="551">
        <v>0</v>
      </c>
      <c r="M8" s="431"/>
      <c r="N8" s="431"/>
      <c r="O8" s="550"/>
      <c r="P8" s="550"/>
      <c r="Q8" s="550"/>
      <c r="R8" s="550"/>
      <c r="S8" s="550"/>
      <c r="T8" s="550"/>
      <c r="U8" s="550"/>
      <c r="V8" s="450"/>
    </row>
    <row r="9" spans="1:22" s="249" customFormat="1" ht="21.75" customHeight="1">
      <c r="A9" s="894" t="s">
        <v>71</v>
      </c>
      <c r="B9" s="214">
        <v>0</v>
      </c>
      <c r="C9" s="433">
        <f t="shared" si="0"/>
        <v>0</v>
      </c>
      <c r="D9" s="433"/>
      <c r="E9" s="435">
        <v>0</v>
      </c>
      <c r="F9" s="433">
        <f t="shared" si="1"/>
        <v>0</v>
      </c>
      <c r="G9" s="458">
        <v>0</v>
      </c>
      <c r="H9" s="270">
        <v>0</v>
      </c>
      <c r="I9" s="270">
        <v>0</v>
      </c>
      <c r="J9" s="270">
        <v>0</v>
      </c>
      <c r="K9" s="421">
        <v>0</v>
      </c>
      <c r="L9" s="551">
        <v>0</v>
      </c>
      <c r="M9" s="431"/>
      <c r="N9" s="431"/>
      <c r="O9" s="355"/>
      <c r="P9" s="432"/>
      <c r="Q9" s="356"/>
      <c r="R9" s="356"/>
      <c r="S9" s="434"/>
      <c r="T9" s="434"/>
      <c r="U9" s="434"/>
    </row>
    <row r="10" spans="1:22" s="249" customFormat="1" ht="21.75" customHeight="1">
      <c r="A10" s="899" t="s">
        <v>62</v>
      </c>
      <c r="B10" s="214">
        <v>0</v>
      </c>
      <c r="C10" s="433">
        <f t="shared" si="0"/>
        <v>0</v>
      </c>
      <c r="D10" s="433"/>
      <c r="E10" s="435">
        <v>0</v>
      </c>
      <c r="F10" s="433">
        <f t="shared" si="1"/>
        <v>0</v>
      </c>
      <c r="G10" s="458">
        <v>0</v>
      </c>
      <c r="H10" s="270">
        <v>0</v>
      </c>
      <c r="I10" s="270">
        <v>0</v>
      </c>
      <c r="J10" s="270">
        <v>0</v>
      </c>
      <c r="K10" s="421">
        <v>0</v>
      </c>
      <c r="L10" s="551">
        <v>0</v>
      </c>
      <c r="M10" s="431"/>
      <c r="N10" s="431"/>
      <c r="O10" s="465"/>
      <c r="P10" s="432"/>
      <c r="Q10" s="356"/>
      <c r="R10" s="356"/>
      <c r="S10" s="434"/>
      <c r="T10" s="434"/>
      <c r="U10" s="434"/>
    </row>
    <row r="11" spans="1:22" s="249" customFormat="1" ht="22.5" customHeight="1">
      <c r="A11" s="577" t="s">
        <v>64</v>
      </c>
      <c r="B11" s="214">
        <v>1</v>
      </c>
      <c r="C11" s="433">
        <f t="shared" si="0"/>
        <v>8.4889643463497449E-2</v>
      </c>
      <c r="D11" s="433"/>
      <c r="E11" s="435">
        <v>1</v>
      </c>
      <c r="F11" s="433">
        <f t="shared" si="1"/>
        <v>0.10162601626016261</v>
      </c>
      <c r="G11" s="458">
        <v>20</v>
      </c>
      <c r="H11" s="270">
        <v>480</v>
      </c>
      <c r="I11" s="270">
        <v>200</v>
      </c>
      <c r="J11" s="270">
        <v>180</v>
      </c>
      <c r="K11" s="421">
        <v>198</v>
      </c>
      <c r="L11" s="551">
        <f t="shared" si="2"/>
        <v>37.5</v>
      </c>
      <c r="M11" s="431"/>
      <c r="N11" s="431"/>
      <c r="O11" s="465"/>
      <c r="P11" s="432"/>
      <c r="Q11" s="355"/>
      <c r="R11" s="355"/>
    </row>
    <row r="12" spans="1:22" s="249" customFormat="1" ht="21.75" customHeight="1">
      <c r="A12" s="587" t="s">
        <v>56</v>
      </c>
      <c r="B12" s="214">
        <v>0</v>
      </c>
      <c r="C12" s="433">
        <f t="shared" si="0"/>
        <v>0</v>
      </c>
      <c r="D12" s="433"/>
      <c r="E12" s="435">
        <v>0</v>
      </c>
      <c r="F12" s="433">
        <f t="shared" si="1"/>
        <v>0</v>
      </c>
      <c r="G12" s="458">
        <v>0</v>
      </c>
      <c r="H12" s="270">
        <v>0</v>
      </c>
      <c r="I12" s="270">
        <v>0</v>
      </c>
      <c r="J12" s="270">
        <v>0</v>
      </c>
      <c r="K12" s="421">
        <v>0</v>
      </c>
      <c r="L12" s="551">
        <v>0</v>
      </c>
      <c r="M12" s="431"/>
      <c r="N12" s="431"/>
      <c r="O12" s="495"/>
      <c r="P12" s="432"/>
      <c r="Q12" s="355"/>
      <c r="R12" s="355"/>
    </row>
    <row r="13" spans="1:22" s="249" customFormat="1" ht="21.75" customHeight="1">
      <c r="A13" s="579" t="s">
        <v>63</v>
      </c>
      <c r="B13" s="214">
        <v>0</v>
      </c>
      <c r="C13" s="433">
        <f t="shared" si="0"/>
        <v>0</v>
      </c>
      <c r="D13" s="433"/>
      <c r="E13" s="435">
        <v>0</v>
      </c>
      <c r="F13" s="433">
        <f t="shared" si="1"/>
        <v>0</v>
      </c>
      <c r="G13" s="458">
        <v>0</v>
      </c>
      <c r="H13" s="270">
        <v>0</v>
      </c>
      <c r="I13" s="270">
        <v>0</v>
      </c>
      <c r="J13" s="270">
        <v>0</v>
      </c>
      <c r="K13" s="421">
        <v>0</v>
      </c>
      <c r="L13" s="551">
        <v>0</v>
      </c>
      <c r="M13" s="431"/>
      <c r="N13" s="431"/>
      <c r="O13" s="495"/>
      <c r="P13" s="432"/>
      <c r="Q13" s="355"/>
      <c r="R13" s="355"/>
    </row>
    <row r="14" spans="1:22" s="249" customFormat="1" ht="21.75" customHeight="1">
      <c r="A14" s="574" t="s">
        <v>254</v>
      </c>
      <c r="B14" s="214">
        <v>0</v>
      </c>
      <c r="C14" s="433">
        <f t="shared" si="0"/>
        <v>0</v>
      </c>
      <c r="D14" s="433"/>
      <c r="E14" s="435">
        <v>0</v>
      </c>
      <c r="F14" s="433">
        <f t="shared" si="1"/>
        <v>0</v>
      </c>
      <c r="G14" s="458">
        <v>0</v>
      </c>
      <c r="H14" s="270">
        <v>0</v>
      </c>
      <c r="I14" s="270">
        <v>0</v>
      </c>
      <c r="J14" s="270">
        <v>0</v>
      </c>
      <c r="K14" s="421">
        <v>0</v>
      </c>
      <c r="L14" s="551">
        <v>0</v>
      </c>
      <c r="M14" s="431"/>
      <c r="N14" s="431"/>
      <c r="O14" s="574"/>
      <c r="P14" s="432"/>
      <c r="Q14" s="355"/>
      <c r="R14" s="355"/>
    </row>
    <row r="15" spans="1:22" s="248" customFormat="1" ht="21.75" customHeight="1">
      <c r="A15" s="589" t="s">
        <v>65</v>
      </c>
      <c r="B15" s="214">
        <v>0</v>
      </c>
      <c r="C15" s="433">
        <f t="shared" si="0"/>
        <v>0</v>
      </c>
      <c r="D15" s="433"/>
      <c r="E15" s="435">
        <v>0</v>
      </c>
      <c r="F15" s="433">
        <f t="shared" si="1"/>
        <v>0</v>
      </c>
      <c r="G15" s="458">
        <v>0</v>
      </c>
      <c r="H15" s="270">
        <v>0</v>
      </c>
      <c r="I15" s="270">
        <v>0</v>
      </c>
      <c r="J15" s="270">
        <v>0</v>
      </c>
      <c r="K15" s="421">
        <v>0</v>
      </c>
      <c r="L15" s="551">
        <v>0</v>
      </c>
      <c r="M15" s="431"/>
      <c r="N15" s="431"/>
      <c r="O15" s="589"/>
      <c r="P15" s="432"/>
      <c r="Q15" s="355"/>
      <c r="R15" s="355"/>
    </row>
    <row r="16" spans="1:22" s="248" customFormat="1" ht="21.75" customHeight="1">
      <c r="A16" s="899" t="s">
        <v>66</v>
      </c>
      <c r="B16" s="214">
        <v>20</v>
      </c>
      <c r="C16" s="433">
        <f t="shared" si="0"/>
        <v>1.6977928692699491</v>
      </c>
      <c r="D16" s="433"/>
      <c r="E16" s="435">
        <v>20</v>
      </c>
      <c r="F16" s="433">
        <f t="shared" si="1"/>
        <v>2.0325203252032518</v>
      </c>
      <c r="G16" s="458">
        <v>208</v>
      </c>
      <c r="H16" s="270">
        <v>4992</v>
      </c>
      <c r="I16" s="270">
        <v>0</v>
      </c>
      <c r="J16" s="270">
        <v>0</v>
      </c>
      <c r="K16" s="270">
        <v>0</v>
      </c>
      <c r="L16" s="551">
        <f t="shared" si="2"/>
        <v>0</v>
      </c>
      <c r="M16" s="431"/>
      <c r="N16" s="431"/>
      <c r="O16" s="355"/>
      <c r="P16" s="432"/>
      <c r="Q16" s="355"/>
      <c r="R16" s="355"/>
    </row>
    <row r="17" spans="1:18" s="249" customFormat="1" ht="21.75" customHeight="1">
      <c r="A17" s="590" t="s">
        <v>67</v>
      </c>
      <c r="B17" s="214">
        <v>0</v>
      </c>
      <c r="C17" s="433">
        <f t="shared" si="0"/>
        <v>0</v>
      </c>
      <c r="D17" s="433"/>
      <c r="E17" s="435">
        <v>0</v>
      </c>
      <c r="F17" s="433">
        <f t="shared" si="1"/>
        <v>0</v>
      </c>
      <c r="G17" s="458">
        <v>0</v>
      </c>
      <c r="H17" s="270">
        <v>0</v>
      </c>
      <c r="I17" s="270">
        <v>0</v>
      </c>
      <c r="J17" s="270">
        <v>0</v>
      </c>
      <c r="K17" s="421">
        <v>0</v>
      </c>
      <c r="L17" s="551">
        <v>0</v>
      </c>
      <c r="M17" s="431"/>
      <c r="N17" s="431"/>
      <c r="O17" s="495"/>
      <c r="P17" s="432"/>
      <c r="Q17" s="355"/>
      <c r="R17" s="355"/>
    </row>
    <row r="18" spans="1:18" s="248" customFormat="1" ht="21.75" customHeight="1">
      <c r="A18" s="574" t="s">
        <v>68</v>
      </c>
      <c r="B18" s="214">
        <v>0</v>
      </c>
      <c r="C18" s="433">
        <f t="shared" si="0"/>
        <v>0</v>
      </c>
      <c r="D18" s="433"/>
      <c r="E18" s="435">
        <v>0</v>
      </c>
      <c r="F18" s="433">
        <f t="shared" si="1"/>
        <v>0</v>
      </c>
      <c r="G18" s="458">
        <v>0</v>
      </c>
      <c r="H18" s="270">
        <v>0</v>
      </c>
      <c r="I18" s="270">
        <v>0</v>
      </c>
      <c r="J18" s="270">
        <v>0</v>
      </c>
      <c r="K18" s="270">
        <v>0</v>
      </c>
      <c r="L18" s="551">
        <v>0</v>
      </c>
      <c r="M18" s="431"/>
      <c r="N18" s="431"/>
      <c r="O18" s="355"/>
      <c r="P18" s="432"/>
      <c r="Q18" s="355"/>
      <c r="R18" s="355"/>
    </row>
    <row r="19" spans="1:18" s="248" customFormat="1" ht="21.75" customHeight="1">
      <c r="A19" s="578" t="s">
        <v>69</v>
      </c>
      <c r="B19" s="214">
        <v>0</v>
      </c>
      <c r="C19" s="433">
        <f t="shared" si="0"/>
        <v>0</v>
      </c>
      <c r="D19" s="433"/>
      <c r="E19" s="435">
        <v>0</v>
      </c>
      <c r="F19" s="433">
        <f t="shared" si="1"/>
        <v>0</v>
      </c>
      <c r="G19" s="458">
        <v>0</v>
      </c>
      <c r="H19" s="270">
        <v>0</v>
      </c>
      <c r="I19" s="270">
        <v>0</v>
      </c>
      <c r="J19" s="270">
        <v>0</v>
      </c>
      <c r="K19" s="421">
        <v>0</v>
      </c>
      <c r="L19" s="551">
        <v>0</v>
      </c>
      <c r="M19" s="431"/>
      <c r="N19" s="431"/>
      <c r="O19" s="355"/>
      <c r="P19" s="432"/>
      <c r="Q19" s="355"/>
      <c r="R19" s="355"/>
    </row>
    <row r="20" spans="1:18" s="248" customFormat="1" ht="21.75" customHeight="1" thickBot="1">
      <c r="A20" s="216" t="s">
        <v>70</v>
      </c>
      <c r="B20" s="214">
        <v>0</v>
      </c>
      <c r="C20" s="662">
        <f t="shared" si="0"/>
        <v>0</v>
      </c>
      <c r="D20" s="662"/>
      <c r="E20" s="468">
        <v>0</v>
      </c>
      <c r="F20" s="662">
        <f t="shared" si="1"/>
        <v>0</v>
      </c>
      <c r="G20" s="270">
        <v>0</v>
      </c>
      <c r="H20" s="270">
        <v>0</v>
      </c>
      <c r="I20" s="270">
        <v>0</v>
      </c>
      <c r="J20" s="270">
        <v>0</v>
      </c>
      <c r="K20" s="421">
        <v>0</v>
      </c>
      <c r="L20" s="551">
        <v>0</v>
      </c>
      <c r="M20" s="431"/>
      <c r="N20" s="431"/>
      <c r="O20" s="355"/>
      <c r="P20" s="432"/>
      <c r="Q20" s="355"/>
      <c r="R20" s="355"/>
    </row>
    <row r="21" spans="1:18" s="206" customFormat="1" ht="21.75" customHeight="1" thickTop="1" thickBot="1">
      <c r="A21" s="222" t="s">
        <v>280</v>
      </c>
      <c r="B21" s="224">
        <f>SUM(B5:B20)</f>
        <v>1178</v>
      </c>
      <c r="C21" s="663">
        <f t="shared" si="0"/>
        <v>100</v>
      </c>
      <c r="D21" s="229"/>
      <c r="E21" s="224">
        <f t="shared" ref="E21:K21" si="4">SUM(E5:E20)</f>
        <v>984</v>
      </c>
      <c r="F21" s="663">
        <f t="shared" si="4"/>
        <v>100</v>
      </c>
      <c r="G21" s="224">
        <f t="shared" si="4"/>
        <v>25682</v>
      </c>
      <c r="H21" s="224">
        <f t="shared" si="4"/>
        <v>616368</v>
      </c>
      <c r="I21" s="224">
        <f t="shared" si="4"/>
        <v>513420</v>
      </c>
      <c r="J21" s="224">
        <f t="shared" si="4"/>
        <v>193155</v>
      </c>
      <c r="K21" s="224">
        <f t="shared" si="4"/>
        <v>196672</v>
      </c>
      <c r="L21" s="229">
        <f>J21/H21*100</f>
        <v>31.337609999221243</v>
      </c>
      <c r="M21" s="217"/>
      <c r="N21" s="217"/>
      <c r="O21" s="217"/>
      <c r="P21" s="209"/>
      <c r="Q21" s="208"/>
      <c r="R21" s="208"/>
    </row>
    <row r="22" spans="1:18" ht="27" customHeight="1" thickTop="1">
      <c r="A22" s="1137" t="s">
        <v>589</v>
      </c>
      <c r="B22" s="1137"/>
      <c r="C22" s="1137"/>
      <c r="D22" s="1137"/>
      <c r="E22" s="1137"/>
      <c r="F22" s="1137"/>
      <c r="G22" s="1137"/>
      <c r="H22" s="1137"/>
      <c r="I22" s="1137"/>
      <c r="J22" s="1137"/>
    </row>
    <row r="23" spans="1:18" s="206" customFormat="1" ht="21" customHeight="1">
      <c r="A23" s="1135" t="s">
        <v>509</v>
      </c>
      <c r="B23" s="1135"/>
      <c r="C23" s="1135"/>
      <c r="D23" s="1135"/>
      <c r="E23" s="1135"/>
      <c r="F23" s="1135"/>
      <c r="G23" s="1135"/>
      <c r="H23" s="1135"/>
      <c r="I23" s="1135"/>
      <c r="J23" s="362"/>
      <c r="K23" s="362"/>
      <c r="L23" s="217"/>
      <c r="M23" s="209"/>
      <c r="N23" s="208"/>
      <c r="O23" s="208"/>
    </row>
    <row r="24" spans="1:18" s="206" customFormat="1" ht="21" customHeight="1">
      <c r="A24" s="1138" t="s">
        <v>292</v>
      </c>
      <c r="B24" s="1138"/>
      <c r="C24" s="1138"/>
      <c r="D24" s="1138"/>
      <c r="E24" s="1138"/>
      <c r="F24" s="1138"/>
      <c r="G24" s="952"/>
      <c r="H24" s="952"/>
      <c r="I24" s="952"/>
      <c r="J24" s="952"/>
      <c r="K24" s="952"/>
      <c r="L24" s="217"/>
      <c r="M24" s="217"/>
      <c r="N24" s="209"/>
      <c r="O24" s="208"/>
      <c r="P24" s="208"/>
    </row>
    <row r="25" spans="1:18" ht="21.75" customHeight="1">
      <c r="A25" s="1132" t="s">
        <v>228</v>
      </c>
      <c r="B25" s="1132"/>
      <c r="C25" s="1132"/>
      <c r="D25" s="1132"/>
      <c r="E25" s="1132"/>
      <c r="F25" s="1132"/>
      <c r="G25" s="1132"/>
      <c r="H25" s="1132"/>
      <c r="I25" s="1132"/>
      <c r="J25" s="1132"/>
      <c r="K25" s="1132"/>
      <c r="L25" s="631">
        <v>32</v>
      </c>
      <c r="M25" s="12"/>
      <c r="N25" s="12"/>
      <c r="O25" s="12"/>
      <c r="P25" s="12"/>
      <c r="Q25" s="12"/>
      <c r="R25" s="12"/>
    </row>
    <row r="26" spans="1:18">
      <c r="M26" s="12"/>
      <c r="N26" s="12"/>
      <c r="O26" s="12"/>
      <c r="P26" s="12"/>
      <c r="Q26" s="12"/>
      <c r="R26" s="12"/>
    </row>
    <row r="27" spans="1:18">
      <c r="M27" s="12"/>
      <c r="N27" s="12"/>
      <c r="O27" s="12"/>
      <c r="P27" s="12"/>
      <c r="Q27" s="12"/>
      <c r="R27" s="12"/>
    </row>
    <row r="28" spans="1:18">
      <c r="M28" s="12"/>
      <c r="N28" s="12"/>
      <c r="O28" s="12"/>
      <c r="P28" s="12"/>
      <c r="Q28" s="12"/>
      <c r="R28" s="12"/>
    </row>
    <row r="29" spans="1:18">
      <c r="M29" s="12"/>
      <c r="N29" s="12"/>
      <c r="O29" s="12"/>
      <c r="P29" s="12"/>
      <c r="Q29" s="12"/>
      <c r="R29" s="12"/>
    </row>
    <row r="30" spans="1:18">
      <c r="M30" s="12"/>
      <c r="N30" s="12"/>
      <c r="O30" s="12"/>
      <c r="P30" s="12"/>
      <c r="Q30" s="12"/>
      <c r="R30" s="12"/>
    </row>
  </sheetData>
  <mergeCells count="12">
    <mergeCell ref="A1:L1"/>
    <mergeCell ref="A2:L2"/>
    <mergeCell ref="A3:A4"/>
    <mergeCell ref="B3:C3"/>
    <mergeCell ref="L3:L4"/>
    <mergeCell ref="O7:U7"/>
    <mergeCell ref="A25:K25"/>
    <mergeCell ref="A23:I23"/>
    <mergeCell ref="A24:F24"/>
    <mergeCell ref="E3:F3"/>
    <mergeCell ref="K3:K4"/>
    <mergeCell ref="A22:J22"/>
  </mergeCells>
  <printOptions horizontalCentered="1"/>
  <pageMargins left="0.51180993000874886" right="0.51180993000874886" top="0.55118110236220474" bottom="0.55118110236220474" header="0.31496062992125984" footer="0.31496062992125984"/>
  <pageSetup paperSize="9" scale="9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T27"/>
  <sheetViews>
    <sheetView rightToLeft="1" view="pageBreakPreview" zoomScale="90" zoomScaleSheetLayoutView="90" workbookViewId="0">
      <pane ySplit="4" topLeftCell="A5" activePane="bottomLeft" state="frozen"/>
      <selection pane="bottomLeft" activeCell="K26" sqref="K26"/>
    </sheetView>
  </sheetViews>
  <sheetFormatPr defaultColWidth="10.42578125" defaultRowHeight="15"/>
  <cols>
    <col min="1" max="1" width="11.5703125" customWidth="1"/>
    <col min="2" max="3" width="12.28515625" customWidth="1"/>
    <col min="4" max="4" width="14.140625" customWidth="1"/>
    <col min="5" max="5" width="15.28515625" customWidth="1"/>
    <col min="6" max="6" width="12.5703125" customWidth="1"/>
    <col min="7" max="10" width="15.28515625" customWidth="1"/>
    <col min="11" max="11" width="14.28515625" customWidth="1"/>
  </cols>
  <sheetData>
    <row r="1" spans="1:20" ht="23.25" customHeight="1">
      <c r="A1" s="1140" t="s">
        <v>579</v>
      </c>
      <c r="B1" s="1140"/>
      <c r="C1" s="1140"/>
      <c r="D1" s="1140"/>
      <c r="E1" s="1140"/>
      <c r="F1" s="1140"/>
      <c r="G1" s="1140"/>
      <c r="H1" s="1140"/>
      <c r="I1" s="1140"/>
      <c r="J1" s="1140"/>
      <c r="K1" s="1140"/>
    </row>
    <row r="2" spans="1:20" ht="30.75" customHeight="1" thickBot="1">
      <c r="A2" s="1144" t="s">
        <v>376</v>
      </c>
      <c r="B2" s="1144"/>
      <c r="C2" s="1144"/>
      <c r="D2" s="1144"/>
      <c r="E2" s="1144"/>
      <c r="F2" s="1144"/>
      <c r="G2" s="1144"/>
      <c r="H2" s="1144"/>
      <c r="I2" s="1144"/>
      <c r="J2" s="1144"/>
      <c r="K2" s="1144"/>
    </row>
    <row r="3" spans="1:20" ht="33" customHeight="1" thickTop="1">
      <c r="A3" s="1068" t="s">
        <v>57</v>
      </c>
      <c r="B3" s="1116" t="s">
        <v>233</v>
      </c>
      <c r="C3" s="1116"/>
      <c r="D3" s="949" t="s">
        <v>250</v>
      </c>
      <c r="E3" s="950" t="s">
        <v>250</v>
      </c>
      <c r="F3" s="950" t="s">
        <v>572</v>
      </c>
      <c r="G3" s="950" t="s">
        <v>573</v>
      </c>
      <c r="H3" s="1116" t="s">
        <v>313</v>
      </c>
      <c r="I3" s="1116"/>
      <c r="J3" s="1116"/>
      <c r="K3" s="1068" t="s">
        <v>230</v>
      </c>
    </row>
    <row r="4" spans="1:20" ht="23.25" customHeight="1">
      <c r="A4" s="1128"/>
      <c r="B4" s="153" t="s">
        <v>256</v>
      </c>
      <c r="C4" s="153" t="s">
        <v>227</v>
      </c>
      <c r="D4" s="951" t="s">
        <v>571</v>
      </c>
      <c r="E4" s="969" t="s">
        <v>251</v>
      </c>
      <c r="F4" s="969" t="s">
        <v>251</v>
      </c>
      <c r="G4" s="969" t="s">
        <v>251</v>
      </c>
      <c r="H4" s="153" t="s">
        <v>252</v>
      </c>
      <c r="I4" s="153" t="s">
        <v>253</v>
      </c>
      <c r="J4" s="153" t="s">
        <v>23</v>
      </c>
      <c r="K4" s="1128"/>
    </row>
    <row r="5" spans="1:20" s="16" customFormat="1" ht="23.25" customHeight="1">
      <c r="A5" s="968" t="s">
        <v>58</v>
      </c>
      <c r="B5" s="966">
        <v>0</v>
      </c>
      <c r="C5" s="963">
        <f>B5/$B$21*100</f>
        <v>0</v>
      </c>
      <c r="D5" s="690">
        <v>0</v>
      </c>
      <c r="E5" s="690">
        <v>0</v>
      </c>
      <c r="F5" s="690">
        <v>0</v>
      </c>
      <c r="G5" s="690">
        <v>0</v>
      </c>
      <c r="H5" s="585">
        <v>0</v>
      </c>
      <c r="I5" s="585">
        <v>0</v>
      </c>
      <c r="J5" s="585">
        <v>0</v>
      </c>
      <c r="K5" s="584">
        <v>0</v>
      </c>
    </row>
    <row r="6" spans="1:20" s="441" customFormat="1" ht="23.25" customHeight="1">
      <c r="A6" s="455" t="s">
        <v>59</v>
      </c>
      <c r="B6" s="580">
        <v>0</v>
      </c>
      <c r="C6" s="433">
        <f t="shared" ref="C6:C21" si="0">B6/$B$21*100</f>
        <v>0</v>
      </c>
      <c r="D6" s="458">
        <v>0</v>
      </c>
      <c r="E6" s="458">
        <v>0</v>
      </c>
      <c r="F6" s="458">
        <v>0</v>
      </c>
      <c r="G6" s="458">
        <v>0</v>
      </c>
      <c r="H6" s="354">
        <v>0</v>
      </c>
      <c r="I6" s="354">
        <v>0</v>
      </c>
      <c r="J6" s="354">
        <v>0</v>
      </c>
      <c r="K6" s="553">
        <v>0</v>
      </c>
      <c r="L6" s="436"/>
      <c r="N6" s="460"/>
    </row>
    <row r="7" spans="1:20" s="441" customFormat="1" ht="23.25" customHeight="1">
      <c r="A7" s="933" t="s">
        <v>60</v>
      </c>
      <c r="B7" s="214">
        <v>38</v>
      </c>
      <c r="C7" s="433">
        <f t="shared" si="0"/>
        <v>14.339622641509434</v>
      </c>
      <c r="D7" s="270">
        <v>110</v>
      </c>
      <c r="E7" s="270">
        <v>2640</v>
      </c>
      <c r="F7" s="270">
        <v>108</v>
      </c>
      <c r="G7" s="270">
        <v>36</v>
      </c>
      <c r="H7" s="215">
        <v>24</v>
      </c>
      <c r="I7" s="215">
        <v>16</v>
      </c>
      <c r="J7" s="354">
        <f>SUM(H7:I7)</f>
        <v>40</v>
      </c>
      <c r="K7" s="553">
        <f>G7/E7*100</f>
        <v>1.3636363636363635</v>
      </c>
      <c r="L7" s="436"/>
      <c r="M7" s="451"/>
      <c r="N7" s="451"/>
      <c r="O7" s="451"/>
      <c r="P7" s="451"/>
      <c r="Q7" s="452"/>
      <c r="R7" s="453"/>
      <c r="S7" s="453"/>
      <c r="T7" s="453"/>
    </row>
    <row r="8" spans="1:20" s="441" customFormat="1" ht="23.25" customHeight="1">
      <c r="A8" s="549" t="s">
        <v>296</v>
      </c>
      <c r="B8" s="214">
        <v>15</v>
      </c>
      <c r="C8" s="433">
        <f t="shared" si="0"/>
        <v>5.6603773584905666</v>
      </c>
      <c r="D8" s="270">
        <v>31</v>
      </c>
      <c r="E8" s="270">
        <v>744</v>
      </c>
      <c r="F8" s="270">
        <v>0</v>
      </c>
      <c r="G8" s="270">
        <v>0</v>
      </c>
      <c r="H8" s="215">
        <v>0</v>
      </c>
      <c r="I8" s="215">
        <v>0</v>
      </c>
      <c r="J8" s="354">
        <v>0</v>
      </c>
      <c r="K8" s="553">
        <v>0</v>
      </c>
      <c r="L8" s="436"/>
      <c r="M8" s="451"/>
      <c r="N8" s="451"/>
      <c r="O8" s="451"/>
      <c r="P8" s="451"/>
      <c r="Q8" s="452"/>
      <c r="R8" s="453"/>
      <c r="S8" s="453"/>
      <c r="T8" s="453"/>
    </row>
    <row r="9" spans="1:20" s="441" customFormat="1" ht="23.25" customHeight="1">
      <c r="A9" s="552" t="s">
        <v>71</v>
      </c>
      <c r="B9" s="214">
        <v>0</v>
      </c>
      <c r="C9" s="433">
        <f t="shared" si="0"/>
        <v>0</v>
      </c>
      <c r="D9" s="270">
        <v>0</v>
      </c>
      <c r="E9" s="270">
        <v>0</v>
      </c>
      <c r="F9" s="270">
        <v>0</v>
      </c>
      <c r="G9" s="270">
        <v>0</v>
      </c>
      <c r="H9" s="215">
        <v>0</v>
      </c>
      <c r="I9" s="215">
        <v>0</v>
      </c>
      <c r="J9" s="354">
        <v>0</v>
      </c>
      <c r="K9" s="553">
        <v>0</v>
      </c>
      <c r="L9" s="436"/>
      <c r="M9" s="437"/>
      <c r="N9" s="438"/>
      <c r="O9" s="439"/>
      <c r="P9" s="439"/>
      <c r="Q9" s="440"/>
      <c r="R9" s="440"/>
      <c r="S9" s="440"/>
    </row>
    <row r="10" spans="1:20" s="441" customFormat="1" ht="23.25" customHeight="1">
      <c r="A10" s="552" t="s">
        <v>62</v>
      </c>
      <c r="B10" s="214">
        <v>0</v>
      </c>
      <c r="C10" s="433">
        <f t="shared" si="0"/>
        <v>0</v>
      </c>
      <c r="D10" s="270">
        <v>0</v>
      </c>
      <c r="E10" s="270">
        <v>0</v>
      </c>
      <c r="F10" s="270">
        <v>0</v>
      </c>
      <c r="G10" s="270">
        <v>0</v>
      </c>
      <c r="H10" s="215">
        <v>0</v>
      </c>
      <c r="I10" s="215">
        <v>0</v>
      </c>
      <c r="J10" s="354">
        <v>0</v>
      </c>
      <c r="K10" s="553">
        <v>0</v>
      </c>
      <c r="L10" s="436"/>
      <c r="M10" s="437"/>
      <c r="N10" s="438"/>
      <c r="O10" s="439"/>
      <c r="P10" s="439"/>
      <c r="Q10" s="440"/>
      <c r="R10" s="440"/>
      <c r="S10" s="440"/>
    </row>
    <row r="11" spans="1:20" s="441" customFormat="1" ht="23.25" customHeight="1">
      <c r="A11" s="552" t="s">
        <v>64</v>
      </c>
      <c r="B11" s="214">
        <v>0</v>
      </c>
      <c r="C11" s="433">
        <f t="shared" si="0"/>
        <v>0</v>
      </c>
      <c r="D11" s="270">
        <v>0</v>
      </c>
      <c r="E11" s="270">
        <v>0</v>
      </c>
      <c r="F11" s="270">
        <v>0</v>
      </c>
      <c r="G11" s="270">
        <v>0</v>
      </c>
      <c r="H11" s="215">
        <v>0</v>
      </c>
      <c r="I11" s="215">
        <v>0</v>
      </c>
      <c r="J11" s="354">
        <v>0</v>
      </c>
      <c r="K11" s="553">
        <v>0</v>
      </c>
      <c r="L11" s="436"/>
      <c r="M11" s="437"/>
      <c r="N11" s="438"/>
      <c r="O11" s="437"/>
      <c r="P11" s="437"/>
    </row>
    <row r="12" spans="1:20" s="441" customFormat="1" ht="23.25" customHeight="1">
      <c r="A12" s="552" t="s">
        <v>56</v>
      </c>
      <c r="B12" s="214">
        <v>12</v>
      </c>
      <c r="C12" s="433">
        <f t="shared" si="0"/>
        <v>4.5283018867924527</v>
      </c>
      <c r="D12" s="270">
        <v>22</v>
      </c>
      <c r="E12" s="270">
        <v>528</v>
      </c>
      <c r="F12" s="270">
        <v>0</v>
      </c>
      <c r="G12" s="270">
        <v>0</v>
      </c>
      <c r="H12" s="215">
        <v>0</v>
      </c>
      <c r="I12" s="211">
        <v>0</v>
      </c>
      <c r="J12" s="354">
        <f t="shared" ref="J12:J16" si="1">SUM(H12:I12)</f>
        <v>0</v>
      </c>
      <c r="K12" s="553">
        <f t="shared" ref="K12:K16" si="2">G12/E12*100</f>
        <v>0</v>
      </c>
      <c r="L12" s="1145"/>
      <c r="M12" s="1145"/>
      <c r="N12" s="1145"/>
      <c r="O12" s="1145"/>
      <c r="P12" s="1145"/>
      <c r="Q12" s="1145"/>
      <c r="R12" s="1145"/>
      <c r="S12" s="1145"/>
    </row>
    <row r="13" spans="1:20" s="441" customFormat="1" ht="23.25" customHeight="1">
      <c r="A13" s="552" t="s">
        <v>63</v>
      </c>
      <c r="B13" s="214">
        <v>0</v>
      </c>
      <c r="C13" s="433">
        <f t="shared" si="0"/>
        <v>0</v>
      </c>
      <c r="D13" s="270">
        <v>0</v>
      </c>
      <c r="E13" s="270">
        <v>0</v>
      </c>
      <c r="F13" s="270">
        <v>0</v>
      </c>
      <c r="G13" s="270">
        <v>0</v>
      </c>
      <c r="H13" s="215">
        <v>0</v>
      </c>
      <c r="I13" s="215">
        <v>0</v>
      </c>
      <c r="J13" s="354">
        <f t="shared" si="1"/>
        <v>0</v>
      </c>
      <c r="K13" s="553">
        <v>0</v>
      </c>
      <c r="L13" s="436"/>
      <c r="M13" s="437"/>
      <c r="N13" s="438"/>
      <c r="O13" s="437"/>
      <c r="P13" s="437"/>
    </row>
    <row r="14" spans="1:20" s="441" customFormat="1" ht="23.25" customHeight="1">
      <c r="A14" s="552" t="s">
        <v>61</v>
      </c>
      <c r="B14" s="466">
        <v>0</v>
      </c>
      <c r="C14" s="433">
        <f t="shared" si="0"/>
        <v>0</v>
      </c>
      <c r="D14" s="270">
        <v>0</v>
      </c>
      <c r="E14" s="270">
        <v>0</v>
      </c>
      <c r="F14" s="270">
        <v>0</v>
      </c>
      <c r="G14" s="270">
        <v>0</v>
      </c>
      <c r="H14" s="215">
        <v>0</v>
      </c>
      <c r="I14" s="215">
        <v>0</v>
      </c>
      <c r="J14" s="354">
        <f t="shared" si="1"/>
        <v>0</v>
      </c>
      <c r="K14" s="553">
        <v>0</v>
      </c>
      <c r="L14" s="436"/>
      <c r="M14" s="437"/>
      <c r="N14" s="438"/>
      <c r="O14" s="437"/>
      <c r="P14" s="437"/>
    </row>
    <row r="15" spans="1:20" s="447" customFormat="1" ht="23.25" customHeight="1">
      <c r="A15" s="552" t="s">
        <v>65</v>
      </c>
      <c r="B15" s="214">
        <v>1</v>
      </c>
      <c r="C15" s="433">
        <f t="shared" si="0"/>
        <v>0.37735849056603776</v>
      </c>
      <c r="D15" s="270">
        <v>3</v>
      </c>
      <c r="E15" s="270">
        <v>72</v>
      </c>
      <c r="F15" s="270">
        <v>62</v>
      </c>
      <c r="G15" s="270">
        <v>15</v>
      </c>
      <c r="H15" s="215">
        <v>0</v>
      </c>
      <c r="I15" s="215">
        <v>16</v>
      </c>
      <c r="J15" s="354">
        <f t="shared" si="1"/>
        <v>16</v>
      </c>
      <c r="K15" s="553">
        <f t="shared" si="2"/>
        <v>20.833333333333336</v>
      </c>
      <c r="L15" s="436"/>
      <c r="M15" s="437"/>
      <c r="N15" s="438"/>
      <c r="O15" s="437"/>
      <c r="P15" s="437"/>
    </row>
    <row r="16" spans="1:20" s="447" customFormat="1" ht="23.25" customHeight="1">
      <c r="A16" s="552" t="s">
        <v>66</v>
      </c>
      <c r="B16" s="214">
        <v>57</v>
      </c>
      <c r="C16" s="433">
        <f t="shared" si="0"/>
        <v>21.509433962264151</v>
      </c>
      <c r="D16" s="270">
        <v>57</v>
      </c>
      <c r="E16" s="270">
        <v>1368</v>
      </c>
      <c r="F16" s="270">
        <v>285</v>
      </c>
      <c r="G16" s="270">
        <v>200</v>
      </c>
      <c r="H16" s="215">
        <v>140</v>
      </c>
      <c r="I16" s="215">
        <v>300</v>
      </c>
      <c r="J16" s="354">
        <f t="shared" si="1"/>
        <v>440</v>
      </c>
      <c r="K16" s="553">
        <f t="shared" si="2"/>
        <v>14.619883040935672</v>
      </c>
      <c r="L16" s="436"/>
      <c r="M16" s="437"/>
      <c r="N16" s="438"/>
      <c r="O16" s="437"/>
      <c r="P16" s="437"/>
    </row>
    <row r="17" spans="1:16" s="447" customFormat="1" ht="23.25" customHeight="1">
      <c r="A17" s="552" t="s">
        <v>67</v>
      </c>
      <c r="B17" s="214">
        <v>28</v>
      </c>
      <c r="C17" s="433">
        <f t="shared" si="0"/>
        <v>10.566037735849058</v>
      </c>
      <c r="D17" s="270">
        <v>27</v>
      </c>
      <c r="E17" s="270">
        <v>648</v>
      </c>
      <c r="F17" s="270">
        <v>0</v>
      </c>
      <c r="G17" s="270">
        <v>0</v>
      </c>
      <c r="H17" s="215">
        <v>0</v>
      </c>
      <c r="I17" s="215">
        <v>0</v>
      </c>
      <c r="J17" s="354">
        <v>0</v>
      </c>
      <c r="K17" s="553">
        <v>0</v>
      </c>
      <c r="L17" s="436"/>
      <c r="M17" s="437"/>
      <c r="N17" s="438"/>
      <c r="O17" s="437"/>
      <c r="P17" s="437"/>
    </row>
    <row r="18" spans="1:16" s="447" customFormat="1" ht="23.25" customHeight="1">
      <c r="A18" s="552" t="s">
        <v>68</v>
      </c>
      <c r="B18" s="214">
        <v>67</v>
      </c>
      <c r="C18" s="433">
        <f t="shared" si="0"/>
        <v>25.283018867924529</v>
      </c>
      <c r="D18" s="270">
        <v>180</v>
      </c>
      <c r="E18" s="270">
        <v>4320</v>
      </c>
      <c r="F18" s="270">
        <v>0</v>
      </c>
      <c r="G18" s="270">
        <v>0</v>
      </c>
      <c r="H18" s="215">
        <v>0</v>
      </c>
      <c r="I18" s="215">
        <v>0</v>
      </c>
      <c r="J18" s="354">
        <f>SUM(H18:I18)</f>
        <v>0</v>
      </c>
      <c r="K18" s="553">
        <f>G18/E18*100</f>
        <v>0</v>
      </c>
      <c r="L18" s="436"/>
      <c r="M18" s="437"/>
      <c r="N18" s="438"/>
      <c r="O18" s="437"/>
      <c r="P18" s="437"/>
    </row>
    <row r="19" spans="1:16" s="447" customFormat="1" ht="23.25" customHeight="1">
      <c r="A19" s="552" t="s">
        <v>69</v>
      </c>
      <c r="B19" s="214">
        <v>22</v>
      </c>
      <c r="C19" s="433">
        <f t="shared" si="0"/>
        <v>8.3018867924528301</v>
      </c>
      <c r="D19" s="270">
        <v>79</v>
      </c>
      <c r="E19" s="270">
        <v>1896</v>
      </c>
      <c r="F19" s="270">
        <v>0</v>
      </c>
      <c r="G19" s="270">
        <v>0</v>
      </c>
      <c r="H19" s="215">
        <v>0</v>
      </c>
      <c r="I19" s="215">
        <v>0</v>
      </c>
      <c r="J19" s="354">
        <v>0</v>
      </c>
      <c r="K19" s="553">
        <v>0</v>
      </c>
      <c r="L19" s="436"/>
      <c r="M19" s="437"/>
      <c r="N19" s="438"/>
      <c r="O19" s="437"/>
      <c r="P19" s="437"/>
    </row>
    <row r="20" spans="1:16" s="447" customFormat="1" ht="23.25" customHeight="1" thickBot="1">
      <c r="A20" s="473" t="s">
        <v>70</v>
      </c>
      <c r="B20" s="214">
        <v>25</v>
      </c>
      <c r="C20" s="662">
        <f t="shared" si="0"/>
        <v>9.433962264150944</v>
      </c>
      <c r="D20" s="270">
        <v>67</v>
      </c>
      <c r="E20" s="270">
        <v>1608</v>
      </c>
      <c r="F20" s="270">
        <v>0</v>
      </c>
      <c r="G20" s="270">
        <v>0</v>
      </c>
      <c r="H20" s="215">
        <v>0</v>
      </c>
      <c r="I20" s="211">
        <v>0</v>
      </c>
      <c r="J20" s="354">
        <v>0</v>
      </c>
      <c r="K20" s="474">
        <v>0</v>
      </c>
      <c r="L20" s="436"/>
      <c r="M20" s="437"/>
      <c r="N20" s="438"/>
      <c r="O20" s="437"/>
      <c r="P20" s="437"/>
    </row>
    <row r="21" spans="1:16" s="230" customFormat="1" ht="23.25" customHeight="1" thickTop="1" thickBot="1">
      <c r="A21" s="222" t="s">
        <v>280</v>
      </c>
      <c r="B21" s="223">
        <f>SUM(B5:B20)</f>
        <v>265</v>
      </c>
      <c r="C21" s="663">
        <f t="shared" si="0"/>
        <v>100</v>
      </c>
      <c r="D21" s="225">
        <f t="shared" ref="D21:J21" si="3">SUM(D5:D20)</f>
        <v>576</v>
      </c>
      <c r="E21" s="225">
        <f t="shared" si="3"/>
        <v>13824</v>
      </c>
      <c r="F21" s="225">
        <f t="shared" si="3"/>
        <v>455</v>
      </c>
      <c r="G21" s="225">
        <f t="shared" si="3"/>
        <v>251</v>
      </c>
      <c r="H21" s="225">
        <f t="shared" si="3"/>
        <v>164</v>
      </c>
      <c r="I21" s="225">
        <f t="shared" si="3"/>
        <v>332</v>
      </c>
      <c r="J21" s="225">
        <f t="shared" si="3"/>
        <v>496</v>
      </c>
      <c r="K21" s="229">
        <f>G21/E21*100</f>
        <v>1.8156828703703702</v>
      </c>
      <c r="L21" s="233"/>
      <c r="M21" s="233"/>
      <c r="N21" s="232"/>
      <c r="O21" s="231"/>
      <c r="P21" s="231"/>
    </row>
    <row r="22" spans="1:16" ht="26.25" customHeight="1" thickTop="1">
      <c r="A22" s="1137" t="s">
        <v>589</v>
      </c>
      <c r="B22" s="1137"/>
      <c r="C22" s="1137"/>
      <c r="D22" s="1137"/>
      <c r="E22" s="1137"/>
      <c r="F22" s="1137"/>
      <c r="G22" s="1137"/>
      <c r="H22" s="1137"/>
      <c r="I22" s="1137"/>
      <c r="J22" s="1137"/>
    </row>
    <row r="23" spans="1:16" s="206" customFormat="1" ht="24" customHeight="1">
      <c r="A23" s="1135" t="s">
        <v>509</v>
      </c>
      <c r="B23" s="1135"/>
      <c r="C23" s="1135"/>
      <c r="D23" s="1135"/>
      <c r="E23" s="1135"/>
      <c r="F23" s="1135"/>
      <c r="G23" s="1135"/>
      <c r="H23" s="1135"/>
      <c r="I23"/>
      <c r="J23"/>
      <c r="K23"/>
      <c r="L23" s="217"/>
      <c r="M23" s="209"/>
      <c r="N23" s="208"/>
      <c r="O23" s="208"/>
    </row>
    <row r="24" spans="1:16" s="206" customFormat="1" ht="25.5" customHeight="1">
      <c r="A24" s="1138" t="s">
        <v>292</v>
      </c>
      <c r="B24" s="1138"/>
      <c r="C24" s="1138"/>
      <c r="D24" s="1138"/>
      <c r="E24" s="1138"/>
      <c r="F24" s="1138"/>
      <c r="G24" s="1138"/>
      <c r="H24" s="1138"/>
      <c r="I24" s="219"/>
      <c r="J24" s="219"/>
      <c r="K24" s="221"/>
      <c r="L24" s="217"/>
      <c r="M24" s="217"/>
      <c r="N24" s="209"/>
      <c r="O24" s="208"/>
      <c r="P24" s="208"/>
    </row>
    <row r="25" spans="1:16" s="206" customFormat="1" ht="34.5" customHeight="1">
      <c r="A25" s="1138"/>
      <c r="B25" s="1138"/>
      <c r="C25" s="1138"/>
      <c r="D25" s="1138"/>
      <c r="E25" s="1138"/>
      <c r="F25" s="1138"/>
      <c r="G25" s="1138"/>
      <c r="H25" s="1138"/>
      <c r="I25" s="219"/>
      <c r="J25" s="219"/>
      <c r="K25" s="221"/>
      <c r="L25" s="217"/>
      <c r="M25" s="217"/>
      <c r="N25" s="209"/>
      <c r="O25" s="208"/>
      <c r="P25" s="208"/>
    </row>
    <row r="26" spans="1:16" ht="26.25" customHeight="1">
      <c r="A26" s="1132" t="s">
        <v>228</v>
      </c>
      <c r="B26" s="1132"/>
      <c r="C26" s="1132"/>
      <c r="D26" s="1132"/>
      <c r="E26" s="1132"/>
      <c r="F26" s="1132"/>
      <c r="G26" s="1132"/>
      <c r="H26" s="621"/>
      <c r="I26" s="621"/>
      <c r="J26" s="621"/>
      <c r="K26" s="824">
        <v>33</v>
      </c>
      <c r="L26" s="12"/>
      <c r="M26" s="12"/>
      <c r="N26" s="12"/>
      <c r="O26" s="12"/>
      <c r="P26" s="12"/>
    </row>
    <row r="27" spans="1:16" ht="18.75" customHeight="1"/>
  </sheetData>
  <mergeCells count="12">
    <mergeCell ref="A24:H24"/>
    <mergeCell ref="A25:H25"/>
    <mergeCell ref="A26:G26"/>
    <mergeCell ref="K3:K4"/>
    <mergeCell ref="L12:S12"/>
    <mergeCell ref="A23:H23"/>
    <mergeCell ref="A22:J22"/>
    <mergeCell ref="A1:K1"/>
    <mergeCell ref="A2:K2"/>
    <mergeCell ref="A3:A4"/>
    <mergeCell ref="B3:C3"/>
    <mergeCell ref="H3:J3"/>
  </mergeCells>
  <printOptions horizontalCentered="1"/>
  <pageMargins left="0.51181102362204722" right="0.51181102362204722" top="0.51181102362204722" bottom="0.51181102362204722" header="0.31496062992125984" footer="0.31496062992125984"/>
  <pageSetup paperSize="9" scale="8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AE31"/>
  <sheetViews>
    <sheetView rightToLeft="1" view="pageBreakPreview" zoomScaleSheetLayoutView="100" workbookViewId="0">
      <pane ySplit="4" topLeftCell="A5" activePane="bottomLeft" state="frozen"/>
      <selection pane="bottomLeft" activeCell="AD26" sqref="AD26"/>
    </sheetView>
  </sheetViews>
  <sheetFormatPr defaultRowHeight="15"/>
  <cols>
    <col min="1" max="1" width="8.42578125" customWidth="1"/>
    <col min="2" max="2" width="5.28515625" customWidth="1"/>
    <col min="3" max="4" width="5.5703125" customWidth="1"/>
    <col min="5" max="5" width="6" customWidth="1"/>
    <col min="6" max="6" width="1" customWidth="1"/>
    <col min="7" max="7" width="5.28515625" customWidth="1"/>
    <col min="8" max="9" width="5.5703125" customWidth="1"/>
    <col min="10" max="10" width="5.85546875" customWidth="1"/>
    <col min="11" max="11" width="1" customWidth="1"/>
    <col min="12" max="12" width="5.28515625" customWidth="1"/>
    <col min="13" max="14" width="5.5703125" customWidth="1"/>
    <col min="15" max="15" width="5.85546875" customWidth="1"/>
    <col min="16" max="16" width="1" customWidth="1"/>
    <col min="17" max="17" width="5.28515625" customWidth="1"/>
    <col min="18" max="19" width="5.5703125" customWidth="1"/>
    <col min="20" max="20" width="5.85546875" customWidth="1"/>
    <col min="21" max="21" width="1" customWidth="1"/>
    <col min="22" max="22" width="5.28515625" customWidth="1"/>
    <col min="23" max="24" width="5.5703125" customWidth="1"/>
    <col min="25" max="25" width="6.140625" customWidth="1"/>
    <col min="26" max="26" width="1" customWidth="1"/>
    <col min="27" max="27" width="6.42578125" customWidth="1"/>
    <col min="28" max="28" width="6.85546875" customWidth="1"/>
    <col min="29" max="29" width="7.140625" customWidth="1"/>
    <col min="30" max="30" width="6.85546875" customWidth="1"/>
  </cols>
  <sheetData>
    <row r="1" spans="1:31" ht="31.5" customHeight="1">
      <c r="A1" s="1150" t="s">
        <v>519</v>
      </c>
      <c r="B1" s="1150"/>
      <c r="C1" s="1150"/>
      <c r="D1" s="1150"/>
      <c r="E1" s="1150"/>
      <c r="F1" s="1150"/>
      <c r="G1" s="1150"/>
      <c r="H1" s="1150"/>
      <c r="I1" s="1150"/>
      <c r="J1" s="1150"/>
      <c r="K1" s="1150"/>
      <c r="L1" s="1150"/>
      <c r="M1" s="1150"/>
      <c r="N1" s="1150"/>
      <c r="O1" s="1150"/>
      <c r="P1" s="1150"/>
      <c r="Q1" s="1150"/>
      <c r="R1" s="1150"/>
      <c r="S1" s="1150"/>
      <c r="T1" s="1150"/>
      <c r="U1" s="1150"/>
      <c r="V1" s="1150"/>
      <c r="W1" s="1150"/>
      <c r="X1" s="1150"/>
      <c r="Y1" s="1150"/>
      <c r="Z1" s="1150"/>
      <c r="AA1" s="1150"/>
      <c r="AB1" s="1150"/>
      <c r="AC1" s="1150"/>
      <c r="AD1" s="1150"/>
    </row>
    <row r="2" spans="1:31" ht="30.75" customHeight="1" thickBot="1">
      <c r="A2" s="235" t="s">
        <v>377</v>
      </c>
      <c r="B2" s="236"/>
      <c r="C2" s="236"/>
      <c r="D2" s="236"/>
      <c r="E2" s="236"/>
      <c r="F2" s="236"/>
      <c r="G2" s="236"/>
      <c r="H2" s="236"/>
      <c r="I2" s="236"/>
      <c r="J2" s="236"/>
      <c r="K2" s="236"/>
      <c r="L2" s="236"/>
      <c r="M2" s="236"/>
      <c r="N2" s="236"/>
      <c r="O2" s="236"/>
      <c r="P2" s="236"/>
      <c r="Q2" s="236"/>
      <c r="R2" s="236"/>
      <c r="S2" s="236"/>
      <c r="T2" s="236"/>
      <c r="U2" s="236"/>
      <c r="V2" s="236"/>
      <c r="W2" s="236"/>
      <c r="X2" s="236"/>
      <c r="Y2" s="236"/>
    </row>
    <row r="3" spans="1:31" ht="34.5" customHeight="1" thickTop="1">
      <c r="A3" s="1147" t="s">
        <v>57</v>
      </c>
      <c r="B3" s="1149" t="s">
        <v>234</v>
      </c>
      <c r="C3" s="1149"/>
      <c r="D3" s="1149"/>
      <c r="E3" s="1149"/>
      <c r="F3" s="634"/>
      <c r="G3" s="1149" t="s">
        <v>229</v>
      </c>
      <c r="H3" s="1149"/>
      <c r="I3" s="1149"/>
      <c r="J3" s="1149"/>
      <c r="K3" s="634"/>
      <c r="L3" s="1149" t="s">
        <v>231</v>
      </c>
      <c r="M3" s="1149"/>
      <c r="N3" s="1149"/>
      <c r="O3" s="1149"/>
      <c r="P3" s="634"/>
      <c r="Q3" s="1149" t="s">
        <v>309</v>
      </c>
      <c r="R3" s="1149"/>
      <c r="S3" s="1149"/>
      <c r="T3" s="1149"/>
      <c r="U3" s="634"/>
      <c r="V3" s="1149" t="s">
        <v>233</v>
      </c>
      <c r="W3" s="1149"/>
      <c r="X3" s="1149"/>
      <c r="Y3" s="1149"/>
      <c r="Z3" s="267"/>
      <c r="AA3" s="1149" t="s">
        <v>286</v>
      </c>
      <c r="AB3" s="1149"/>
      <c r="AC3" s="1149"/>
      <c r="AD3" s="1149"/>
    </row>
    <row r="4" spans="1:31" ht="26.25" customHeight="1">
      <c r="A4" s="1148"/>
      <c r="B4" s="158" t="s">
        <v>257</v>
      </c>
      <c r="C4" s="158" t="s">
        <v>259</v>
      </c>
      <c r="D4" s="158" t="s">
        <v>258</v>
      </c>
      <c r="E4" s="158" t="s">
        <v>23</v>
      </c>
      <c r="F4" s="256"/>
      <c r="G4" s="158" t="s">
        <v>257</v>
      </c>
      <c r="H4" s="158" t="s">
        <v>259</v>
      </c>
      <c r="I4" s="158" t="s">
        <v>258</v>
      </c>
      <c r="J4" s="158" t="s">
        <v>23</v>
      </c>
      <c r="K4" s="256"/>
      <c r="L4" s="158" t="s">
        <v>257</v>
      </c>
      <c r="M4" s="158" t="s">
        <v>260</v>
      </c>
      <c r="N4" s="158" t="s">
        <v>258</v>
      </c>
      <c r="O4" s="158" t="s">
        <v>23</v>
      </c>
      <c r="P4" s="256"/>
      <c r="Q4" s="158" t="s">
        <v>257</v>
      </c>
      <c r="R4" s="158" t="s">
        <v>260</v>
      </c>
      <c r="S4" s="158" t="s">
        <v>258</v>
      </c>
      <c r="T4" s="158" t="s">
        <v>23</v>
      </c>
      <c r="U4" s="256"/>
      <c r="V4" s="158" t="s">
        <v>257</v>
      </c>
      <c r="W4" s="158" t="s">
        <v>259</v>
      </c>
      <c r="X4" s="158" t="s">
        <v>258</v>
      </c>
      <c r="Y4" s="158" t="s">
        <v>23</v>
      </c>
      <c r="Z4" s="666"/>
      <c r="AA4" s="158" t="s">
        <v>257</v>
      </c>
      <c r="AB4" s="158" t="s">
        <v>259</v>
      </c>
      <c r="AC4" s="158" t="s">
        <v>258</v>
      </c>
      <c r="AD4" s="158" t="s">
        <v>23</v>
      </c>
    </row>
    <row r="5" spans="1:31" s="16" customFormat="1" ht="26.25" customHeight="1">
      <c r="A5" s="455" t="s">
        <v>58</v>
      </c>
      <c r="B5" s="581">
        <v>32</v>
      </c>
      <c r="C5" s="581">
        <v>0</v>
      </c>
      <c r="D5" s="581">
        <v>1</v>
      </c>
      <c r="E5" s="215">
        <f>SUM(B5:D5)</f>
        <v>33</v>
      </c>
      <c r="F5" s="257"/>
      <c r="G5" s="581">
        <v>90</v>
      </c>
      <c r="H5" s="581">
        <v>1</v>
      </c>
      <c r="I5" s="581">
        <v>10</v>
      </c>
      <c r="J5" s="215">
        <f t="shared" ref="J5:J21" si="0">SUM(G5:I5)</f>
        <v>101</v>
      </c>
      <c r="K5" s="257"/>
      <c r="L5" s="581">
        <v>0</v>
      </c>
      <c r="M5" s="581">
        <v>0</v>
      </c>
      <c r="N5" s="581">
        <v>0</v>
      </c>
      <c r="O5" s="215">
        <f t="shared" ref="O5:O21" si="1">SUM(L5:N5)</f>
        <v>0</v>
      </c>
      <c r="P5" s="257"/>
      <c r="Q5" s="581">
        <v>615</v>
      </c>
      <c r="R5" s="581">
        <v>0</v>
      </c>
      <c r="S5" s="581">
        <v>147</v>
      </c>
      <c r="T5" s="215">
        <f>SUM(Q5:S5)</f>
        <v>762</v>
      </c>
      <c r="U5" s="257"/>
      <c r="V5" s="240">
        <v>0</v>
      </c>
      <c r="W5" s="240">
        <v>0</v>
      </c>
      <c r="X5" s="240">
        <v>0</v>
      </c>
      <c r="Y5" s="585">
        <f t="shared" ref="Y5:Y21" si="2">SUM(V5:X5)</f>
        <v>0</v>
      </c>
      <c r="Z5" s="586"/>
      <c r="AA5" s="240">
        <f t="shared" ref="AA5:AA20" si="3">B5+G5+L5+Q5+V5</f>
        <v>737</v>
      </c>
      <c r="AB5" s="240">
        <f t="shared" ref="AB5:AB20" si="4">C5+H5+M5+R5+W5</f>
        <v>1</v>
      </c>
      <c r="AC5" s="240">
        <f t="shared" ref="AC5:AC20" si="5">D5+I5+N5+S5+X5</f>
        <v>158</v>
      </c>
      <c r="AD5" s="215">
        <f t="shared" ref="AD5:AD20" si="6">SUM(AA5:AC5)</f>
        <v>896</v>
      </c>
    </row>
    <row r="6" spans="1:31" s="16" customFormat="1" ht="22.5" customHeight="1">
      <c r="A6" s="455" t="s">
        <v>59</v>
      </c>
      <c r="B6" s="581">
        <v>10</v>
      </c>
      <c r="C6" s="581">
        <v>0</v>
      </c>
      <c r="D6" s="581">
        <v>0</v>
      </c>
      <c r="E6" s="215">
        <f>SUM(B6:D6)</f>
        <v>10</v>
      </c>
      <c r="F6" s="257"/>
      <c r="G6" s="581">
        <v>60</v>
      </c>
      <c r="H6" s="581">
        <v>15</v>
      </c>
      <c r="I6" s="581">
        <v>23</v>
      </c>
      <c r="J6" s="215">
        <f t="shared" si="0"/>
        <v>98</v>
      </c>
      <c r="K6" s="257"/>
      <c r="L6" s="581">
        <v>5</v>
      </c>
      <c r="M6" s="581">
        <v>2</v>
      </c>
      <c r="N6" s="581">
        <v>6</v>
      </c>
      <c r="O6" s="215">
        <f t="shared" si="1"/>
        <v>13</v>
      </c>
      <c r="P6" s="257"/>
      <c r="Q6" s="581">
        <v>160</v>
      </c>
      <c r="R6" s="581">
        <v>20</v>
      </c>
      <c r="S6" s="581">
        <v>21</v>
      </c>
      <c r="T6" s="215">
        <f t="shared" ref="T6:T21" si="7">SUM(Q6:S6)</f>
        <v>201</v>
      </c>
      <c r="U6" s="257"/>
      <c r="V6" s="581">
        <v>0</v>
      </c>
      <c r="W6" s="581">
        <v>0</v>
      </c>
      <c r="X6" s="581">
        <v>0</v>
      </c>
      <c r="Y6" s="215">
        <f t="shared" si="2"/>
        <v>0</v>
      </c>
      <c r="Z6" s="554"/>
      <c r="AA6" s="581">
        <f t="shared" si="3"/>
        <v>235</v>
      </c>
      <c r="AB6" s="581">
        <f t="shared" si="4"/>
        <v>37</v>
      </c>
      <c r="AC6" s="581">
        <f t="shared" si="5"/>
        <v>50</v>
      </c>
      <c r="AD6" s="215">
        <f t="shared" si="6"/>
        <v>322</v>
      </c>
    </row>
    <row r="7" spans="1:31" s="16" customFormat="1" ht="22.5" customHeight="1">
      <c r="A7" s="933" t="s">
        <v>60</v>
      </c>
      <c r="B7" s="240">
        <v>26</v>
      </c>
      <c r="C7" s="240">
        <v>2</v>
      </c>
      <c r="D7" s="240">
        <v>0</v>
      </c>
      <c r="E7" s="215">
        <f t="shared" ref="E7:E15" si="8">SUM(B7:D7)</f>
        <v>28</v>
      </c>
      <c r="F7" s="257"/>
      <c r="G7" s="240">
        <v>119</v>
      </c>
      <c r="H7" s="240">
        <v>57</v>
      </c>
      <c r="I7" s="240">
        <v>22</v>
      </c>
      <c r="J7" s="215">
        <f t="shared" si="0"/>
        <v>198</v>
      </c>
      <c r="K7" s="257"/>
      <c r="L7" s="240">
        <v>4</v>
      </c>
      <c r="M7" s="240">
        <v>0</v>
      </c>
      <c r="N7" s="240">
        <v>32</v>
      </c>
      <c r="O7" s="215">
        <f t="shared" si="1"/>
        <v>36</v>
      </c>
      <c r="P7" s="257"/>
      <c r="Q7" s="240">
        <v>0</v>
      </c>
      <c r="R7" s="240">
        <v>0</v>
      </c>
      <c r="S7" s="240">
        <v>0</v>
      </c>
      <c r="T7" s="215">
        <f t="shared" si="7"/>
        <v>0</v>
      </c>
      <c r="U7" s="257"/>
      <c r="V7" s="240">
        <v>5</v>
      </c>
      <c r="W7" s="240">
        <v>0</v>
      </c>
      <c r="X7" s="240">
        <v>33</v>
      </c>
      <c r="Y7" s="215">
        <f t="shared" si="2"/>
        <v>38</v>
      </c>
      <c r="Z7" s="554"/>
      <c r="AA7" s="240">
        <f t="shared" si="3"/>
        <v>154</v>
      </c>
      <c r="AB7" s="240">
        <f t="shared" si="4"/>
        <v>59</v>
      </c>
      <c r="AC7" s="240">
        <f t="shared" si="5"/>
        <v>87</v>
      </c>
      <c r="AD7" s="215">
        <f t="shared" si="6"/>
        <v>300</v>
      </c>
    </row>
    <row r="8" spans="1:31" s="16" customFormat="1" ht="22.5" customHeight="1">
      <c r="A8" s="549" t="s">
        <v>296</v>
      </c>
      <c r="B8" s="240">
        <v>21</v>
      </c>
      <c r="C8" s="240">
        <v>0</v>
      </c>
      <c r="D8" s="240">
        <v>0</v>
      </c>
      <c r="E8" s="215">
        <f t="shared" si="8"/>
        <v>21</v>
      </c>
      <c r="F8" s="257"/>
      <c r="G8" s="240">
        <v>374</v>
      </c>
      <c r="H8" s="240">
        <v>61</v>
      </c>
      <c r="I8" s="240">
        <v>25</v>
      </c>
      <c r="J8" s="215">
        <f t="shared" si="0"/>
        <v>460</v>
      </c>
      <c r="K8" s="257"/>
      <c r="L8" s="240">
        <v>3</v>
      </c>
      <c r="M8" s="240">
        <v>0</v>
      </c>
      <c r="N8" s="240">
        <v>23</v>
      </c>
      <c r="O8" s="215">
        <f t="shared" si="1"/>
        <v>26</v>
      </c>
      <c r="P8" s="257"/>
      <c r="Q8" s="240">
        <v>0</v>
      </c>
      <c r="R8" s="240">
        <v>0</v>
      </c>
      <c r="S8" s="240">
        <v>0</v>
      </c>
      <c r="T8" s="215">
        <f t="shared" si="7"/>
        <v>0</v>
      </c>
      <c r="U8" s="257"/>
      <c r="V8" s="240">
        <v>0</v>
      </c>
      <c r="W8" s="240">
        <v>0</v>
      </c>
      <c r="X8" s="240">
        <v>15</v>
      </c>
      <c r="Y8" s="215">
        <f t="shared" si="2"/>
        <v>15</v>
      </c>
      <c r="Z8" s="554"/>
      <c r="AA8" s="240">
        <f t="shared" si="3"/>
        <v>398</v>
      </c>
      <c r="AB8" s="240">
        <f t="shared" si="4"/>
        <v>61</v>
      </c>
      <c r="AC8" s="240">
        <f t="shared" si="5"/>
        <v>63</v>
      </c>
      <c r="AD8" s="215">
        <f t="shared" si="6"/>
        <v>522</v>
      </c>
    </row>
    <row r="9" spans="1:31" s="16" customFormat="1" ht="22.5" customHeight="1">
      <c r="A9" s="238" t="s">
        <v>71</v>
      </c>
      <c r="B9" s="240">
        <v>12</v>
      </c>
      <c r="C9" s="240">
        <v>1</v>
      </c>
      <c r="D9" s="240">
        <v>0</v>
      </c>
      <c r="E9" s="215">
        <f t="shared" si="8"/>
        <v>13</v>
      </c>
      <c r="F9" s="257"/>
      <c r="G9" s="240">
        <v>85</v>
      </c>
      <c r="H9" s="240">
        <v>14</v>
      </c>
      <c r="I9" s="240">
        <v>0</v>
      </c>
      <c r="J9" s="215">
        <f t="shared" si="0"/>
        <v>99</v>
      </c>
      <c r="K9" s="257"/>
      <c r="L9" s="240">
        <v>0</v>
      </c>
      <c r="M9" s="240">
        <v>0</v>
      </c>
      <c r="N9" s="240">
        <v>0</v>
      </c>
      <c r="O9" s="215">
        <f t="shared" si="1"/>
        <v>0</v>
      </c>
      <c r="P9" s="257"/>
      <c r="Q9" s="240">
        <v>0</v>
      </c>
      <c r="R9" s="240">
        <v>0</v>
      </c>
      <c r="S9" s="240">
        <v>0</v>
      </c>
      <c r="T9" s="215">
        <f t="shared" si="7"/>
        <v>0</v>
      </c>
      <c r="U9" s="257"/>
      <c r="V9" s="240">
        <v>0</v>
      </c>
      <c r="W9" s="240">
        <v>0</v>
      </c>
      <c r="X9" s="240">
        <v>0</v>
      </c>
      <c r="Y9" s="215">
        <f t="shared" si="2"/>
        <v>0</v>
      </c>
      <c r="Z9" s="554"/>
      <c r="AA9" s="240">
        <f t="shared" si="3"/>
        <v>97</v>
      </c>
      <c r="AB9" s="240">
        <f t="shared" si="4"/>
        <v>15</v>
      </c>
      <c r="AC9" s="240">
        <f t="shared" si="5"/>
        <v>0</v>
      </c>
      <c r="AD9" s="215">
        <f t="shared" si="6"/>
        <v>112</v>
      </c>
    </row>
    <row r="10" spans="1:31" s="16" customFormat="1" ht="22.5" customHeight="1">
      <c r="A10" s="238" t="s">
        <v>62</v>
      </c>
      <c r="B10" s="240">
        <v>12</v>
      </c>
      <c r="C10" s="240">
        <v>1</v>
      </c>
      <c r="D10" s="240">
        <v>0</v>
      </c>
      <c r="E10" s="215">
        <f t="shared" si="8"/>
        <v>13</v>
      </c>
      <c r="F10" s="257"/>
      <c r="G10" s="240">
        <v>123</v>
      </c>
      <c r="H10" s="240">
        <v>41</v>
      </c>
      <c r="I10" s="240">
        <v>16</v>
      </c>
      <c r="J10" s="215">
        <f t="shared" si="0"/>
        <v>180</v>
      </c>
      <c r="K10" s="257"/>
      <c r="L10" s="240">
        <v>0</v>
      </c>
      <c r="M10" s="240">
        <v>0</v>
      </c>
      <c r="N10" s="240">
        <v>0</v>
      </c>
      <c r="O10" s="215">
        <v>0</v>
      </c>
      <c r="P10" s="257"/>
      <c r="Q10" s="240">
        <v>0</v>
      </c>
      <c r="R10" s="240">
        <v>0</v>
      </c>
      <c r="S10" s="240">
        <v>0</v>
      </c>
      <c r="T10" s="215">
        <f t="shared" si="7"/>
        <v>0</v>
      </c>
      <c r="U10" s="257"/>
      <c r="V10" s="240">
        <v>0</v>
      </c>
      <c r="W10" s="240">
        <v>0</v>
      </c>
      <c r="X10" s="240">
        <v>0</v>
      </c>
      <c r="Y10" s="215">
        <f t="shared" si="2"/>
        <v>0</v>
      </c>
      <c r="Z10" s="554"/>
      <c r="AA10" s="240">
        <f t="shared" si="3"/>
        <v>135</v>
      </c>
      <c r="AB10" s="240">
        <f t="shared" si="4"/>
        <v>42</v>
      </c>
      <c r="AC10" s="240">
        <f t="shared" si="5"/>
        <v>16</v>
      </c>
      <c r="AD10" s="215">
        <f t="shared" si="6"/>
        <v>193</v>
      </c>
    </row>
    <row r="11" spans="1:31" s="16" customFormat="1" ht="21" customHeight="1">
      <c r="A11" s="238" t="s">
        <v>64</v>
      </c>
      <c r="B11" s="240">
        <v>16</v>
      </c>
      <c r="C11" s="240">
        <v>0</v>
      </c>
      <c r="D11" s="240">
        <v>2</v>
      </c>
      <c r="E11" s="215">
        <f t="shared" si="8"/>
        <v>18</v>
      </c>
      <c r="F11" s="257"/>
      <c r="G11" s="240">
        <v>238</v>
      </c>
      <c r="H11" s="240">
        <v>30</v>
      </c>
      <c r="I11" s="240">
        <v>12</v>
      </c>
      <c r="J11" s="215">
        <f t="shared" si="0"/>
        <v>280</v>
      </c>
      <c r="K11" s="257"/>
      <c r="L11" s="240">
        <v>0</v>
      </c>
      <c r="M11" s="240">
        <v>0</v>
      </c>
      <c r="N11" s="240">
        <v>0</v>
      </c>
      <c r="O11" s="215">
        <f t="shared" si="1"/>
        <v>0</v>
      </c>
      <c r="P11" s="257"/>
      <c r="Q11" s="240">
        <v>1</v>
      </c>
      <c r="R11" s="240">
        <v>0</v>
      </c>
      <c r="S11" s="240">
        <v>0</v>
      </c>
      <c r="T11" s="215">
        <f t="shared" si="7"/>
        <v>1</v>
      </c>
      <c r="U11" s="257"/>
      <c r="V11" s="240">
        <v>0</v>
      </c>
      <c r="W11" s="240">
        <v>0</v>
      </c>
      <c r="X11" s="240">
        <v>0</v>
      </c>
      <c r="Y11" s="215">
        <f t="shared" si="2"/>
        <v>0</v>
      </c>
      <c r="Z11" s="554"/>
      <c r="AA11" s="240">
        <f t="shared" si="3"/>
        <v>255</v>
      </c>
      <c r="AB11" s="240">
        <f t="shared" si="4"/>
        <v>30</v>
      </c>
      <c r="AC11" s="240">
        <f t="shared" si="5"/>
        <v>14</v>
      </c>
      <c r="AD11" s="215">
        <f t="shared" si="6"/>
        <v>299</v>
      </c>
    </row>
    <row r="12" spans="1:31" s="16" customFormat="1" ht="22.5" customHeight="1">
      <c r="A12" s="238" t="s">
        <v>56</v>
      </c>
      <c r="B12" s="240">
        <v>7</v>
      </c>
      <c r="C12" s="240">
        <v>0</v>
      </c>
      <c r="D12" s="240">
        <v>0</v>
      </c>
      <c r="E12" s="215">
        <f t="shared" si="8"/>
        <v>7</v>
      </c>
      <c r="F12" s="257"/>
      <c r="G12" s="240">
        <v>100</v>
      </c>
      <c r="H12" s="240">
        <v>0</v>
      </c>
      <c r="I12" s="240">
        <v>0</v>
      </c>
      <c r="J12" s="215">
        <f t="shared" si="0"/>
        <v>100</v>
      </c>
      <c r="K12" s="257"/>
      <c r="L12" s="240">
        <v>1</v>
      </c>
      <c r="M12" s="240">
        <v>3</v>
      </c>
      <c r="N12" s="240">
        <v>0</v>
      </c>
      <c r="O12" s="215">
        <f t="shared" si="1"/>
        <v>4</v>
      </c>
      <c r="P12" s="257"/>
      <c r="Q12" s="240">
        <v>0</v>
      </c>
      <c r="R12" s="240">
        <v>0</v>
      </c>
      <c r="S12" s="240">
        <v>0</v>
      </c>
      <c r="T12" s="215">
        <f t="shared" si="7"/>
        <v>0</v>
      </c>
      <c r="U12" s="257"/>
      <c r="V12" s="240">
        <v>0</v>
      </c>
      <c r="W12" s="240">
        <v>0</v>
      </c>
      <c r="X12" s="240">
        <v>12</v>
      </c>
      <c r="Y12" s="215">
        <f t="shared" si="2"/>
        <v>12</v>
      </c>
      <c r="Z12" s="554"/>
      <c r="AA12" s="240">
        <f t="shared" si="3"/>
        <v>108</v>
      </c>
      <c r="AB12" s="240">
        <f t="shared" si="4"/>
        <v>3</v>
      </c>
      <c r="AC12" s="240">
        <f t="shared" si="5"/>
        <v>12</v>
      </c>
      <c r="AD12" s="215">
        <f t="shared" si="6"/>
        <v>123</v>
      </c>
    </row>
    <row r="13" spans="1:31" s="16" customFormat="1" ht="22.5" customHeight="1">
      <c r="A13" s="238" t="s">
        <v>63</v>
      </c>
      <c r="B13" s="240">
        <v>18</v>
      </c>
      <c r="C13" s="240">
        <v>0</v>
      </c>
      <c r="D13" s="240">
        <v>2</v>
      </c>
      <c r="E13" s="215">
        <f t="shared" si="8"/>
        <v>20</v>
      </c>
      <c r="F13" s="257"/>
      <c r="G13" s="240">
        <v>233</v>
      </c>
      <c r="H13" s="240">
        <v>28</v>
      </c>
      <c r="I13" s="240">
        <v>31</v>
      </c>
      <c r="J13" s="215">
        <f t="shared" si="0"/>
        <v>292</v>
      </c>
      <c r="K13" s="257"/>
      <c r="L13" s="240">
        <v>16</v>
      </c>
      <c r="M13" s="240">
        <v>0</v>
      </c>
      <c r="N13" s="240">
        <v>0</v>
      </c>
      <c r="O13" s="215">
        <f t="shared" si="1"/>
        <v>16</v>
      </c>
      <c r="P13" s="257"/>
      <c r="Q13" s="240">
        <v>0</v>
      </c>
      <c r="R13" s="240">
        <v>0</v>
      </c>
      <c r="S13" s="240">
        <v>0</v>
      </c>
      <c r="T13" s="215">
        <f t="shared" si="7"/>
        <v>0</v>
      </c>
      <c r="U13" s="257"/>
      <c r="V13" s="240">
        <v>0</v>
      </c>
      <c r="W13" s="240">
        <v>0</v>
      </c>
      <c r="X13" s="240">
        <v>0</v>
      </c>
      <c r="Y13" s="215">
        <f t="shared" si="2"/>
        <v>0</v>
      </c>
      <c r="Z13" s="554"/>
      <c r="AA13" s="240">
        <f t="shared" si="3"/>
        <v>267</v>
      </c>
      <c r="AB13" s="240">
        <f t="shared" si="4"/>
        <v>28</v>
      </c>
      <c r="AC13" s="240">
        <f t="shared" si="5"/>
        <v>33</v>
      </c>
      <c r="AD13" s="215">
        <f t="shared" si="6"/>
        <v>328</v>
      </c>
    </row>
    <row r="14" spans="1:31" s="16" customFormat="1" ht="22.5" customHeight="1">
      <c r="A14" s="238" t="s">
        <v>61</v>
      </c>
      <c r="B14" s="240">
        <v>17</v>
      </c>
      <c r="C14" s="240">
        <v>3</v>
      </c>
      <c r="D14" s="240">
        <v>1</v>
      </c>
      <c r="E14" s="215">
        <f t="shared" si="8"/>
        <v>21</v>
      </c>
      <c r="F14" s="257"/>
      <c r="G14" s="240">
        <v>240</v>
      </c>
      <c r="H14" s="240">
        <v>0</v>
      </c>
      <c r="I14" s="240">
        <v>37</v>
      </c>
      <c r="J14" s="215">
        <f t="shared" si="0"/>
        <v>277</v>
      </c>
      <c r="K14" s="257"/>
      <c r="L14" s="240">
        <v>0</v>
      </c>
      <c r="M14" s="240">
        <v>3</v>
      </c>
      <c r="N14" s="240">
        <v>6</v>
      </c>
      <c r="O14" s="215">
        <f t="shared" si="1"/>
        <v>9</v>
      </c>
      <c r="P14" s="257"/>
      <c r="Q14" s="240">
        <v>0</v>
      </c>
      <c r="R14" s="240">
        <v>0</v>
      </c>
      <c r="S14" s="240">
        <v>0</v>
      </c>
      <c r="T14" s="215">
        <f t="shared" si="7"/>
        <v>0</v>
      </c>
      <c r="U14" s="257"/>
      <c r="V14" s="240">
        <v>0</v>
      </c>
      <c r="W14" s="240">
        <v>0</v>
      </c>
      <c r="X14" s="240">
        <v>0</v>
      </c>
      <c r="Y14" s="215">
        <f t="shared" si="2"/>
        <v>0</v>
      </c>
      <c r="Z14" s="554"/>
      <c r="AA14" s="240">
        <f t="shared" si="3"/>
        <v>257</v>
      </c>
      <c r="AB14" s="240">
        <f t="shared" si="4"/>
        <v>6</v>
      </c>
      <c r="AC14" s="240">
        <f t="shared" si="5"/>
        <v>44</v>
      </c>
      <c r="AD14" s="215">
        <f t="shared" si="6"/>
        <v>307</v>
      </c>
      <c r="AE14" s="215"/>
    </row>
    <row r="15" spans="1:31" s="16" customFormat="1" ht="22.5" customHeight="1">
      <c r="A15" s="238" t="s">
        <v>65</v>
      </c>
      <c r="B15" s="240">
        <v>6</v>
      </c>
      <c r="C15" s="240">
        <v>0</v>
      </c>
      <c r="D15" s="240">
        <v>0</v>
      </c>
      <c r="E15" s="215">
        <f t="shared" si="8"/>
        <v>6</v>
      </c>
      <c r="F15" s="257"/>
      <c r="G15" s="240">
        <v>103</v>
      </c>
      <c r="H15" s="240">
        <v>6</v>
      </c>
      <c r="I15" s="240">
        <v>10</v>
      </c>
      <c r="J15" s="215">
        <f t="shared" si="0"/>
        <v>119</v>
      </c>
      <c r="K15" s="257"/>
      <c r="L15" s="240">
        <v>6</v>
      </c>
      <c r="M15" s="240">
        <v>1</v>
      </c>
      <c r="N15" s="240">
        <v>1</v>
      </c>
      <c r="O15" s="215">
        <f t="shared" si="1"/>
        <v>8</v>
      </c>
      <c r="P15" s="257"/>
      <c r="Q15" s="240">
        <v>0</v>
      </c>
      <c r="R15" s="240">
        <v>0</v>
      </c>
      <c r="S15" s="240">
        <v>0</v>
      </c>
      <c r="T15" s="215">
        <f t="shared" si="7"/>
        <v>0</v>
      </c>
      <c r="U15" s="257"/>
      <c r="V15" s="240">
        <v>1</v>
      </c>
      <c r="W15" s="240">
        <v>0</v>
      </c>
      <c r="X15" s="240">
        <v>0</v>
      </c>
      <c r="Y15" s="215">
        <f t="shared" si="2"/>
        <v>1</v>
      </c>
      <c r="Z15" s="554"/>
      <c r="AA15" s="240">
        <f t="shared" si="3"/>
        <v>116</v>
      </c>
      <c r="AB15" s="240">
        <f t="shared" si="4"/>
        <v>7</v>
      </c>
      <c r="AC15" s="240">
        <f t="shared" si="5"/>
        <v>11</v>
      </c>
      <c r="AD15" s="215">
        <f t="shared" si="6"/>
        <v>134</v>
      </c>
    </row>
    <row r="16" spans="1:31" s="16" customFormat="1" ht="22.5" customHeight="1">
      <c r="A16" s="238" t="s">
        <v>66</v>
      </c>
      <c r="B16" s="240">
        <v>13</v>
      </c>
      <c r="C16" s="240">
        <v>1</v>
      </c>
      <c r="D16" s="240">
        <v>3</v>
      </c>
      <c r="E16" s="215">
        <f t="shared" ref="E16:E21" si="9">SUM(B16:D16)</f>
        <v>17</v>
      </c>
      <c r="F16" s="257"/>
      <c r="G16" s="240">
        <v>198</v>
      </c>
      <c r="H16" s="240">
        <v>88</v>
      </c>
      <c r="I16" s="240">
        <v>28</v>
      </c>
      <c r="J16" s="215">
        <f t="shared" si="0"/>
        <v>314</v>
      </c>
      <c r="K16" s="257"/>
      <c r="L16" s="240">
        <v>0</v>
      </c>
      <c r="M16" s="240">
        <v>4</v>
      </c>
      <c r="N16" s="240">
        <v>21</v>
      </c>
      <c r="O16" s="215">
        <f t="shared" si="1"/>
        <v>25</v>
      </c>
      <c r="P16" s="257"/>
      <c r="Q16" s="240">
        <v>0</v>
      </c>
      <c r="R16" s="240">
        <v>0</v>
      </c>
      <c r="S16" s="240">
        <v>20</v>
      </c>
      <c r="T16" s="215">
        <f t="shared" si="7"/>
        <v>20</v>
      </c>
      <c r="U16" s="257"/>
      <c r="V16" s="240">
        <v>0</v>
      </c>
      <c r="W16" s="240">
        <v>19</v>
      </c>
      <c r="X16" s="240">
        <v>38</v>
      </c>
      <c r="Y16" s="215">
        <f t="shared" si="2"/>
        <v>57</v>
      </c>
      <c r="Z16" s="554"/>
      <c r="AA16" s="240">
        <f t="shared" si="3"/>
        <v>211</v>
      </c>
      <c r="AB16" s="240">
        <f t="shared" si="4"/>
        <v>112</v>
      </c>
      <c r="AC16" s="240">
        <f t="shared" si="5"/>
        <v>110</v>
      </c>
      <c r="AD16" s="215">
        <f t="shared" si="6"/>
        <v>433</v>
      </c>
    </row>
    <row r="17" spans="1:31" s="16" customFormat="1" ht="22.5" customHeight="1">
      <c r="A17" s="238" t="s">
        <v>67</v>
      </c>
      <c r="B17" s="240">
        <v>5</v>
      </c>
      <c r="C17" s="240">
        <v>0</v>
      </c>
      <c r="D17" s="240">
        <v>0</v>
      </c>
      <c r="E17" s="215">
        <f t="shared" si="9"/>
        <v>5</v>
      </c>
      <c r="F17" s="257">
        <f>SUM(B17:E17)</f>
        <v>10</v>
      </c>
      <c r="G17" s="240">
        <v>109</v>
      </c>
      <c r="H17" s="240">
        <v>0</v>
      </c>
      <c r="I17" s="240">
        <v>2</v>
      </c>
      <c r="J17" s="215">
        <f t="shared" si="0"/>
        <v>111</v>
      </c>
      <c r="K17" s="257"/>
      <c r="L17" s="240">
        <v>5</v>
      </c>
      <c r="M17" s="240">
        <v>1</v>
      </c>
      <c r="N17" s="240">
        <v>39</v>
      </c>
      <c r="O17" s="215">
        <f t="shared" si="1"/>
        <v>45</v>
      </c>
      <c r="P17" s="257"/>
      <c r="Q17" s="240">
        <v>0</v>
      </c>
      <c r="R17" s="240">
        <v>0</v>
      </c>
      <c r="S17" s="240">
        <v>0</v>
      </c>
      <c r="T17" s="215">
        <f t="shared" si="7"/>
        <v>0</v>
      </c>
      <c r="U17" s="257"/>
      <c r="V17" s="240">
        <v>0</v>
      </c>
      <c r="W17" s="240">
        <v>0</v>
      </c>
      <c r="X17" s="240">
        <v>28</v>
      </c>
      <c r="Y17" s="215">
        <f t="shared" si="2"/>
        <v>28</v>
      </c>
      <c r="Z17" s="554"/>
      <c r="AA17" s="240">
        <f t="shared" si="3"/>
        <v>119</v>
      </c>
      <c r="AB17" s="240">
        <f t="shared" si="4"/>
        <v>1</v>
      </c>
      <c r="AC17" s="240">
        <f t="shared" si="5"/>
        <v>69</v>
      </c>
      <c r="AD17" s="215">
        <f t="shared" si="6"/>
        <v>189</v>
      </c>
    </row>
    <row r="18" spans="1:31" s="16" customFormat="1" ht="22.5" customHeight="1">
      <c r="A18" s="238" t="s">
        <v>68</v>
      </c>
      <c r="B18" s="240">
        <v>4</v>
      </c>
      <c r="C18" s="240">
        <v>2</v>
      </c>
      <c r="D18" s="240">
        <v>1</v>
      </c>
      <c r="E18" s="215">
        <f t="shared" si="9"/>
        <v>7</v>
      </c>
      <c r="F18" s="257"/>
      <c r="G18" s="240">
        <v>161</v>
      </c>
      <c r="H18" s="240">
        <v>24</v>
      </c>
      <c r="I18" s="240">
        <v>55</v>
      </c>
      <c r="J18" s="215">
        <f t="shared" si="0"/>
        <v>240</v>
      </c>
      <c r="K18" s="257"/>
      <c r="L18" s="240">
        <v>14</v>
      </c>
      <c r="M18" s="240">
        <v>3</v>
      </c>
      <c r="N18" s="240">
        <v>59</v>
      </c>
      <c r="O18" s="215">
        <f t="shared" si="1"/>
        <v>76</v>
      </c>
      <c r="P18" s="257"/>
      <c r="Q18" s="240">
        <v>0</v>
      </c>
      <c r="R18" s="240">
        <v>0</v>
      </c>
      <c r="S18" s="240">
        <v>0</v>
      </c>
      <c r="T18" s="215">
        <f t="shared" si="7"/>
        <v>0</v>
      </c>
      <c r="U18" s="257"/>
      <c r="V18" s="240">
        <v>0</v>
      </c>
      <c r="W18" s="240">
        <v>0</v>
      </c>
      <c r="X18" s="240">
        <v>67</v>
      </c>
      <c r="Y18" s="215">
        <f t="shared" si="2"/>
        <v>67</v>
      </c>
      <c r="Z18" s="554"/>
      <c r="AA18" s="240">
        <f t="shared" si="3"/>
        <v>179</v>
      </c>
      <c r="AB18" s="240">
        <f t="shared" si="4"/>
        <v>29</v>
      </c>
      <c r="AC18" s="240">
        <f t="shared" si="5"/>
        <v>182</v>
      </c>
      <c r="AD18" s="215">
        <f t="shared" si="6"/>
        <v>390</v>
      </c>
    </row>
    <row r="19" spans="1:31" s="16" customFormat="1" ht="22.5" customHeight="1">
      <c r="A19" s="238" t="s">
        <v>69</v>
      </c>
      <c r="B19" s="240">
        <v>4</v>
      </c>
      <c r="C19" s="240">
        <v>1</v>
      </c>
      <c r="D19" s="240">
        <v>10</v>
      </c>
      <c r="E19" s="215">
        <f t="shared" si="9"/>
        <v>15</v>
      </c>
      <c r="F19" s="257"/>
      <c r="G19" s="240">
        <v>209</v>
      </c>
      <c r="H19" s="240">
        <v>21</v>
      </c>
      <c r="I19" s="240">
        <v>29</v>
      </c>
      <c r="J19" s="215">
        <f t="shared" si="0"/>
        <v>259</v>
      </c>
      <c r="K19" s="257"/>
      <c r="L19" s="240">
        <v>9</v>
      </c>
      <c r="M19" s="240">
        <v>0</v>
      </c>
      <c r="N19" s="240">
        <v>3</v>
      </c>
      <c r="O19" s="215">
        <f t="shared" si="1"/>
        <v>12</v>
      </c>
      <c r="P19" s="257"/>
      <c r="Q19" s="240">
        <v>0</v>
      </c>
      <c r="R19" s="240">
        <v>0</v>
      </c>
      <c r="S19" s="240">
        <v>0</v>
      </c>
      <c r="T19" s="215">
        <f t="shared" si="7"/>
        <v>0</v>
      </c>
      <c r="U19" s="257"/>
      <c r="V19" s="240">
        <v>0</v>
      </c>
      <c r="W19" s="240">
        <v>0</v>
      </c>
      <c r="X19" s="240">
        <v>22</v>
      </c>
      <c r="Y19" s="215">
        <f t="shared" si="2"/>
        <v>22</v>
      </c>
      <c r="Z19" s="554"/>
      <c r="AA19" s="240">
        <f t="shared" si="3"/>
        <v>222</v>
      </c>
      <c r="AB19" s="240">
        <f t="shared" si="4"/>
        <v>22</v>
      </c>
      <c r="AC19" s="240">
        <f t="shared" si="5"/>
        <v>64</v>
      </c>
      <c r="AD19" s="215">
        <f t="shared" si="6"/>
        <v>308</v>
      </c>
      <c r="AE19" s="215"/>
    </row>
    <row r="20" spans="1:31" s="16" customFormat="1" ht="22.5" customHeight="1" thickBot="1">
      <c r="A20" s="238" t="s">
        <v>70</v>
      </c>
      <c r="B20" s="468">
        <v>9</v>
      </c>
      <c r="C20" s="468">
        <v>1</v>
      </c>
      <c r="D20" s="468">
        <v>0</v>
      </c>
      <c r="E20" s="215">
        <f t="shared" si="9"/>
        <v>10</v>
      </c>
      <c r="F20" s="257"/>
      <c r="G20" s="468">
        <v>277</v>
      </c>
      <c r="H20" s="468">
        <v>60</v>
      </c>
      <c r="I20" s="468">
        <v>0</v>
      </c>
      <c r="J20" s="215">
        <f t="shared" si="0"/>
        <v>337</v>
      </c>
      <c r="K20" s="257"/>
      <c r="L20" s="468">
        <v>11</v>
      </c>
      <c r="M20" s="468">
        <v>1</v>
      </c>
      <c r="N20" s="468">
        <v>31</v>
      </c>
      <c r="O20" s="215">
        <f t="shared" si="1"/>
        <v>43</v>
      </c>
      <c r="P20" s="257"/>
      <c r="Q20" s="240">
        <v>0</v>
      </c>
      <c r="R20" s="240">
        <v>0</v>
      </c>
      <c r="S20" s="240">
        <v>0</v>
      </c>
      <c r="T20" s="215">
        <f t="shared" si="7"/>
        <v>0</v>
      </c>
      <c r="U20" s="257"/>
      <c r="V20" s="468">
        <v>0</v>
      </c>
      <c r="W20" s="468">
        <v>0</v>
      </c>
      <c r="X20" s="468">
        <v>25</v>
      </c>
      <c r="Y20" s="469">
        <f t="shared" si="2"/>
        <v>25</v>
      </c>
      <c r="Z20" s="470"/>
      <c r="AA20" s="468">
        <f t="shared" si="3"/>
        <v>297</v>
      </c>
      <c r="AB20" s="468">
        <f t="shared" si="4"/>
        <v>62</v>
      </c>
      <c r="AC20" s="468">
        <f t="shared" si="5"/>
        <v>56</v>
      </c>
      <c r="AD20" s="215">
        <f t="shared" si="6"/>
        <v>415</v>
      </c>
    </row>
    <row r="21" spans="1:31" ht="22.5" customHeight="1" thickTop="1" thickBot="1">
      <c r="A21" s="222" t="s">
        <v>280</v>
      </c>
      <c r="B21" s="223">
        <f>SUM(B5:B20)</f>
        <v>212</v>
      </c>
      <c r="C21" s="223">
        <f>SUM(C5:C20)</f>
        <v>12</v>
      </c>
      <c r="D21" s="223">
        <f>SUM(D5:D20)</f>
        <v>20</v>
      </c>
      <c r="E21" s="225">
        <f t="shared" si="9"/>
        <v>244</v>
      </c>
      <c r="F21" s="258">
        <f t="shared" ref="F21" si="10">SUM(F5:F20)</f>
        <v>10</v>
      </c>
      <c r="G21" s="225">
        <f>SUM(G5:G20)</f>
        <v>2719</v>
      </c>
      <c r="H21" s="223">
        <f>SUM(H5:H20)</f>
        <v>446</v>
      </c>
      <c r="I21" s="223">
        <f>SUM(I5:I20)</f>
        <v>300</v>
      </c>
      <c r="J21" s="225">
        <f t="shared" si="0"/>
        <v>3465</v>
      </c>
      <c r="K21" s="258"/>
      <c r="L21" s="223">
        <f>SUM(L5:L20)</f>
        <v>74</v>
      </c>
      <c r="M21" s="223">
        <f>SUM(M5:M20)</f>
        <v>18</v>
      </c>
      <c r="N21" s="223">
        <f>SUM(N5:N20)</f>
        <v>221</v>
      </c>
      <c r="O21" s="225">
        <f t="shared" si="1"/>
        <v>313</v>
      </c>
      <c r="P21" s="258"/>
      <c r="Q21" s="223">
        <f>SUM(Q5:Q20)</f>
        <v>776</v>
      </c>
      <c r="R21" s="223">
        <f>SUM(R5:R20)</f>
        <v>20</v>
      </c>
      <c r="S21" s="223">
        <f>SUM(S5:S20)</f>
        <v>188</v>
      </c>
      <c r="T21" s="225">
        <f t="shared" si="7"/>
        <v>984</v>
      </c>
      <c r="U21" s="258"/>
      <c r="V21" s="223">
        <f>SUM(V5:V20)</f>
        <v>6</v>
      </c>
      <c r="W21" s="223">
        <f>SUM(W5:W20)</f>
        <v>19</v>
      </c>
      <c r="X21" s="223">
        <f>SUM(X5:X20)</f>
        <v>240</v>
      </c>
      <c r="Y21" s="225">
        <f t="shared" si="2"/>
        <v>265</v>
      </c>
      <c r="Z21" s="225"/>
      <c r="AA21" s="225">
        <f>SUM(AA5:AA20)</f>
        <v>3787</v>
      </c>
      <c r="AB21" s="223">
        <f>SUM(AB5:AB20)</f>
        <v>515</v>
      </c>
      <c r="AC21" s="225">
        <f>SUM(AC5:AC20)</f>
        <v>969</v>
      </c>
      <c r="AD21" s="225">
        <f>SUM(AA21:AC21)</f>
        <v>5271</v>
      </c>
    </row>
    <row r="22" spans="1:31" s="206" customFormat="1" ht="27" customHeight="1" thickTop="1">
      <c r="A22" s="1112" t="s">
        <v>509</v>
      </c>
      <c r="B22" s="1112"/>
      <c r="C22" s="1112"/>
      <c r="D22" s="1112"/>
      <c r="E22" s="1112"/>
      <c r="F22" s="1112"/>
      <c r="G22" s="1112"/>
      <c r="H22" s="1112"/>
      <c r="I22" s="1112"/>
      <c r="J22" s="1112"/>
      <c r="K22" s="1112"/>
      <c r="L22" s="1112"/>
      <c r="M22" s="1112"/>
      <c r="N22" s="1112"/>
      <c r="O22" s="1112"/>
      <c r="Q22" s="323"/>
      <c r="R22" s="324"/>
      <c r="S22" s="324"/>
    </row>
    <row r="23" spans="1:31" s="206" customFormat="1" ht="20.25" customHeight="1">
      <c r="A23" s="1138" t="s">
        <v>292</v>
      </c>
      <c r="B23" s="1138"/>
      <c r="C23" s="1138"/>
      <c r="D23" s="1138"/>
      <c r="E23" s="1138"/>
      <c r="F23" s="1138"/>
      <c r="G23" s="1138"/>
      <c r="H23" s="1138"/>
      <c r="I23" s="1138"/>
      <c r="J23" s="1138"/>
      <c r="K23" s="1138"/>
      <c r="L23" s="1138"/>
      <c r="M23" s="1138"/>
      <c r="N23" s="1138"/>
      <c r="O23" s="208"/>
      <c r="T23" s="208"/>
      <c r="AA23" s="398"/>
      <c r="AB23" s="398"/>
      <c r="AC23" s="398"/>
      <c r="AD23" s="398"/>
    </row>
    <row r="24" spans="1:31" s="206" customFormat="1" ht="9" customHeight="1">
      <c r="A24" s="633"/>
      <c r="B24" s="633"/>
      <c r="C24" s="633"/>
      <c r="D24" s="633"/>
      <c r="E24" s="633"/>
      <c r="F24" s="633"/>
      <c r="G24" s="633"/>
      <c r="H24" s="633"/>
      <c r="I24" s="633"/>
      <c r="J24" s="633"/>
      <c r="K24" s="633"/>
      <c r="L24" s="633"/>
      <c r="M24" s="633"/>
      <c r="N24" s="633"/>
      <c r="O24" s="208"/>
      <c r="T24" s="208"/>
      <c r="AA24" s="398"/>
      <c r="AB24" s="398"/>
      <c r="AC24" s="398"/>
      <c r="AD24" s="398"/>
    </row>
    <row r="25" spans="1:31" s="206" customFormat="1" ht="18.75" customHeight="1">
      <c r="A25" s="1138"/>
      <c r="B25" s="1138"/>
      <c r="C25" s="1138"/>
      <c r="D25" s="1138"/>
      <c r="E25" s="1138"/>
      <c r="F25" s="1138"/>
      <c r="G25" s="1138"/>
      <c r="H25" s="1138"/>
      <c r="I25" s="1138"/>
      <c r="J25" s="1138"/>
      <c r="K25" s="1138"/>
      <c r="L25" s="1138"/>
      <c r="M25" s="1138"/>
      <c r="N25" s="1138"/>
      <c r="O25" s="208"/>
      <c r="T25" s="208"/>
    </row>
    <row r="26" spans="1:31" ht="26.25" customHeight="1">
      <c r="A26" s="1146" t="s">
        <v>228</v>
      </c>
      <c r="B26" s="1146"/>
      <c r="C26" s="1146"/>
      <c r="D26" s="1146"/>
      <c r="E26" s="1146"/>
      <c r="F26" s="1146"/>
      <c r="G26" s="1146"/>
      <c r="H26" s="1146"/>
      <c r="I26" s="1146"/>
      <c r="J26" s="1146"/>
      <c r="K26" s="1146"/>
      <c r="L26" s="1146"/>
      <c r="M26" s="1146"/>
      <c r="N26" s="1146"/>
      <c r="O26" s="1146"/>
      <c r="P26" s="1146"/>
      <c r="Q26" s="1146"/>
      <c r="R26" s="1146"/>
      <c r="S26" s="1146"/>
      <c r="T26" s="1146"/>
      <c r="U26" s="1146"/>
      <c r="V26" s="1146"/>
      <c r="W26" s="825"/>
      <c r="X26" s="825"/>
      <c r="Y26" s="826"/>
      <c r="Z26" s="826"/>
      <c r="AA26" s="826"/>
      <c r="AB26" s="826"/>
      <c r="AC26" s="826"/>
      <c r="AD26" s="827">
        <v>34</v>
      </c>
    </row>
    <row r="29" spans="1:31">
      <c r="Z29">
        <v>5327</v>
      </c>
    </row>
    <row r="31" spans="1:31">
      <c r="H31" s="353"/>
    </row>
  </sheetData>
  <mergeCells count="12">
    <mergeCell ref="A26:V26"/>
    <mergeCell ref="A3:A4"/>
    <mergeCell ref="B3:E3"/>
    <mergeCell ref="AA3:AD3"/>
    <mergeCell ref="A1:AD1"/>
    <mergeCell ref="G3:J3"/>
    <mergeCell ref="L3:O3"/>
    <mergeCell ref="V3:Y3"/>
    <mergeCell ref="A23:N23"/>
    <mergeCell ref="A25:N25"/>
    <mergeCell ref="Q3:T3"/>
    <mergeCell ref="A22:O22"/>
  </mergeCells>
  <printOptions horizontalCentered="1"/>
  <pageMargins left="0.31496062992125984" right="0.31496062992125984" top="0.55118110236220474" bottom="0.55118110236220474" header="0.31496062992125984" footer="0.31496062992125984"/>
  <pageSetup paperSize="9" scale="8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AB31"/>
  <sheetViews>
    <sheetView rightToLeft="1" view="pageBreakPreview" zoomScaleSheetLayoutView="100" workbookViewId="0">
      <pane ySplit="4" topLeftCell="A5" activePane="bottomLeft" state="frozen"/>
      <selection pane="bottomLeft" activeCell="S25" sqref="S25"/>
    </sheetView>
  </sheetViews>
  <sheetFormatPr defaultRowHeight="15"/>
  <cols>
    <col min="1" max="1" width="9.7109375" customWidth="1"/>
    <col min="2" max="2" width="11.5703125" customWidth="1"/>
    <col min="3" max="3" width="6.140625" customWidth="1"/>
    <col min="4" max="4" width="1.42578125" customWidth="1"/>
    <col min="5" max="5" width="12.42578125" customWidth="1"/>
    <col min="6" max="6" width="6.140625" customWidth="1"/>
    <col min="7" max="7" width="1.42578125" customWidth="1"/>
    <col min="8" max="8" width="12.42578125" customWidth="1"/>
    <col min="9" max="9" width="6.140625" customWidth="1"/>
    <col min="10" max="10" width="1.42578125" customWidth="1"/>
    <col min="11" max="11" width="12.42578125" customWidth="1"/>
    <col min="12" max="12" width="6.140625" customWidth="1"/>
    <col min="13" max="13" width="1.42578125" customWidth="1"/>
    <col min="14" max="14" width="12.42578125" customWidth="1"/>
    <col min="15" max="15" width="6.140625" customWidth="1"/>
    <col min="16" max="16" width="1.42578125" customWidth="1"/>
    <col min="17" max="17" width="12.42578125" customWidth="1"/>
    <col min="18" max="18" width="6.140625" customWidth="1"/>
    <col min="19" max="19" width="15.42578125" customWidth="1"/>
    <col min="22" max="22" width="6.42578125" customWidth="1"/>
    <col min="23" max="23" width="6.85546875" customWidth="1"/>
  </cols>
  <sheetData>
    <row r="1" spans="1:28" ht="31.5" customHeight="1">
      <c r="A1" s="1150" t="s">
        <v>520</v>
      </c>
      <c r="B1" s="1150"/>
      <c r="C1" s="1150"/>
      <c r="D1" s="1150"/>
      <c r="E1" s="1150"/>
      <c r="F1" s="1150"/>
      <c r="G1" s="1150"/>
      <c r="H1" s="1150"/>
      <c r="I1" s="1150"/>
      <c r="J1" s="1150"/>
      <c r="K1" s="1150"/>
      <c r="L1" s="1150"/>
      <c r="M1" s="1150"/>
      <c r="N1" s="1150"/>
      <c r="O1" s="1150"/>
      <c r="P1" s="1150"/>
      <c r="Q1" s="1150"/>
      <c r="R1" s="1150"/>
      <c r="S1" s="1150"/>
    </row>
    <row r="2" spans="1:28" ht="21.75" customHeight="1" thickBot="1">
      <c r="A2" s="235" t="s">
        <v>362</v>
      </c>
      <c r="B2" s="236"/>
      <c r="C2" s="236"/>
      <c r="D2" s="236"/>
      <c r="E2" s="236"/>
      <c r="F2" s="236"/>
      <c r="G2" s="236"/>
      <c r="H2" s="236"/>
      <c r="I2" s="236"/>
      <c r="J2" s="235"/>
      <c r="K2" s="236"/>
      <c r="L2" s="236"/>
      <c r="M2" s="235"/>
      <c r="N2" s="236"/>
      <c r="O2" s="236"/>
      <c r="P2" s="236"/>
      <c r="Q2" s="236"/>
    </row>
    <row r="3" spans="1:28" ht="28.5" customHeight="1" thickTop="1">
      <c r="A3" s="1147" t="s">
        <v>57</v>
      </c>
      <c r="B3" s="1149" t="s">
        <v>234</v>
      </c>
      <c r="C3" s="1149"/>
      <c r="D3" s="262"/>
      <c r="E3" s="1149" t="s">
        <v>229</v>
      </c>
      <c r="F3" s="1149"/>
      <c r="G3" s="262"/>
      <c r="H3" s="1149" t="s">
        <v>231</v>
      </c>
      <c r="I3" s="1149"/>
      <c r="J3" s="262"/>
      <c r="K3" s="1149" t="s">
        <v>309</v>
      </c>
      <c r="L3" s="1149"/>
      <c r="M3" s="331"/>
      <c r="N3" s="1149" t="s">
        <v>233</v>
      </c>
      <c r="O3" s="1149"/>
      <c r="P3" s="262"/>
      <c r="Q3" s="1149" t="s">
        <v>72</v>
      </c>
      <c r="R3" s="1149"/>
      <c r="S3" s="1151" t="s">
        <v>314</v>
      </c>
    </row>
    <row r="4" spans="1:28" ht="46.5" customHeight="1">
      <c r="A4" s="1148"/>
      <c r="B4" s="729" t="s">
        <v>282</v>
      </c>
      <c r="C4" s="268" t="s">
        <v>227</v>
      </c>
      <c r="D4" s="256"/>
      <c r="E4" s="729" t="s">
        <v>282</v>
      </c>
      <c r="F4" s="268" t="s">
        <v>227</v>
      </c>
      <c r="G4" s="256"/>
      <c r="H4" s="729" t="s">
        <v>282</v>
      </c>
      <c r="I4" s="268" t="s">
        <v>227</v>
      </c>
      <c r="J4" s="256"/>
      <c r="K4" s="729" t="s">
        <v>282</v>
      </c>
      <c r="L4" s="268" t="s">
        <v>227</v>
      </c>
      <c r="M4" s="256"/>
      <c r="N4" s="729" t="s">
        <v>282</v>
      </c>
      <c r="O4" s="268" t="s">
        <v>227</v>
      </c>
      <c r="P4" s="256"/>
      <c r="Q4" s="729" t="s">
        <v>282</v>
      </c>
      <c r="R4" s="268" t="s">
        <v>227</v>
      </c>
      <c r="S4" s="1152"/>
    </row>
    <row r="5" spans="1:28" s="16" customFormat="1" ht="24" customHeight="1">
      <c r="A5" s="685" t="s">
        <v>58</v>
      </c>
      <c r="B5" s="237">
        <f>'9'!J5</f>
        <v>1737552</v>
      </c>
      <c r="C5" s="668">
        <f>B5/$B$21*100</f>
        <v>15.664855157392148</v>
      </c>
      <c r="D5" s="687"/>
      <c r="E5" s="237">
        <f>'10'!J5</f>
        <v>252394</v>
      </c>
      <c r="F5" s="689">
        <f>E5/$E$21*100</f>
        <v>4.194647575580654</v>
      </c>
      <c r="G5" s="585"/>
      <c r="H5" s="709">
        <v>0</v>
      </c>
      <c r="I5" s="689">
        <f>H5/$H$21*100</f>
        <v>0</v>
      </c>
      <c r="J5" s="690"/>
      <c r="K5" s="237">
        <f>'12'!K5</f>
        <v>123000</v>
      </c>
      <c r="L5" s="689">
        <f>K5/$K$21*100</f>
        <v>62.540676863000321</v>
      </c>
      <c r="M5" s="690"/>
      <c r="N5" s="686">
        <v>0</v>
      </c>
      <c r="O5" s="691">
        <f>N5/$N$21*100</f>
        <v>0</v>
      </c>
      <c r="P5" s="692"/>
      <c r="Q5" s="237">
        <f>B5+E5+H5+K5+N5</f>
        <v>2112946</v>
      </c>
      <c r="R5" s="688">
        <f>Q5/$Q$21*100</f>
        <v>12.204484225777524</v>
      </c>
      <c r="S5" s="692">
        <f>'11'!H5</f>
        <v>0</v>
      </c>
      <c r="T5" s="16">
        <v>0</v>
      </c>
      <c r="U5" s="458">
        <v>0</v>
      </c>
      <c r="V5" s="354">
        <v>0</v>
      </c>
      <c r="W5" s="354">
        <v>0</v>
      </c>
      <c r="X5" s="442">
        <f>SUM(V5:W5)</f>
        <v>0</v>
      </c>
    </row>
    <row r="6" spans="1:28" s="16" customFormat="1" ht="24" customHeight="1">
      <c r="A6" s="684" t="s">
        <v>59</v>
      </c>
      <c r="B6" s="237">
        <f>'9'!J6</f>
        <v>511849</v>
      </c>
      <c r="C6" s="320">
        <f t="shared" ref="C6:C21" si="0">B6/$B$21*100</f>
        <v>4.6145614332440203</v>
      </c>
      <c r="D6" s="257"/>
      <c r="E6" s="237">
        <f>'10'!J6</f>
        <v>112220</v>
      </c>
      <c r="F6" s="357">
        <f t="shared" ref="F6:F21" si="1">E6/$E$21*100</f>
        <v>1.8650338396778887</v>
      </c>
      <c r="G6" s="215"/>
      <c r="H6" s="237">
        <v>639</v>
      </c>
      <c r="I6" s="357">
        <f t="shared" ref="I6:I21" si="2">H6/$H$21*100</f>
        <v>9.6686336813436213</v>
      </c>
      <c r="J6" s="270"/>
      <c r="K6" s="237">
        <f>'12'!K6</f>
        <v>73474</v>
      </c>
      <c r="L6" s="357">
        <f t="shared" ref="L6:L21" si="3">K6/$K$21*100</f>
        <v>37.358647901073873</v>
      </c>
      <c r="M6" s="270"/>
      <c r="N6" s="693">
        <v>0</v>
      </c>
      <c r="O6" s="400">
        <f t="shared" ref="O6:O21" si="4">N6/$N$21*100</f>
        <v>0</v>
      </c>
      <c r="P6" s="237"/>
      <c r="Q6" s="237">
        <f t="shared" ref="Q6:Q21" si="5">B6+E6+H6+K6+N6</f>
        <v>698182</v>
      </c>
      <c r="R6" s="422">
        <f t="shared" ref="R6:R21" si="6">Q6/$Q$21*100</f>
        <v>4.0327349613865202</v>
      </c>
      <c r="S6" s="237">
        <f>'11'!H6</f>
        <v>0</v>
      </c>
      <c r="T6" s="16">
        <v>0</v>
      </c>
      <c r="U6" s="458">
        <v>0</v>
      </c>
      <c r="V6" s="354">
        <v>0</v>
      </c>
      <c r="W6" s="354">
        <v>639</v>
      </c>
      <c r="X6" s="442">
        <f>SUM(V6:W6)</f>
        <v>639</v>
      </c>
    </row>
    <row r="7" spans="1:28" s="16" customFormat="1" ht="24" customHeight="1">
      <c r="A7" s="933" t="s">
        <v>60</v>
      </c>
      <c r="B7" s="237">
        <v>426659</v>
      </c>
      <c r="C7" s="320">
        <f t="shared" si="0"/>
        <v>3.8465331895665722</v>
      </c>
      <c r="D7" s="257"/>
      <c r="E7" s="237">
        <v>185726</v>
      </c>
      <c r="F7" s="357">
        <f t="shared" si="1"/>
        <v>3.0866625816076949</v>
      </c>
      <c r="G7" s="215"/>
      <c r="H7" s="237">
        <v>50</v>
      </c>
      <c r="I7" s="357">
        <f t="shared" si="2"/>
        <v>0.75654410652141024</v>
      </c>
      <c r="J7" s="270"/>
      <c r="K7" s="237">
        <f>'12'!K7</f>
        <v>0</v>
      </c>
      <c r="L7" s="357">
        <f t="shared" si="3"/>
        <v>0</v>
      </c>
      <c r="M7" s="270"/>
      <c r="N7" s="693">
        <f>'13'!J7</f>
        <v>40</v>
      </c>
      <c r="O7" s="400">
        <f t="shared" si="4"/>
        <v>8.064516129032258</v>
      </c>
      <c r="P7" s="237"/>
      <c r="Q7" s="237">
        <f t="shared" si="5"/>
        <v>612475</v>
      </c>
      <c r="R7" s="422">
        <f t="shared" si="6"/>
        <v>3.537686943340288</v>
      </c>
      <c r="S7" s="237">
        <f>'11'!H7</f>
        <v>0</v>
      </c>
      <c r="T7" s="16">
        <v>38</v>
      </c>
      <c r="U7" s="270"/>
      <c r="V7" s="215"/>
      <c r="W7" s="215"/>
    </row>
    <row r="8" spans="1:28" s="16" customFormat="1" ht="24" customHeight="1">
      <c r="A8" s="684" t="s">
        <v>296</v>
      </c>
      <c r="B8" s="237">
        <f>'9'!J8</f>
        <v>273462</v>
      </c>
      <c r="C8" s="320">
        <f t="shared" si="0"/>
        <v>2.4653895947003437</v>
      </c>
      <c r="D8" s="257"/>
      <c r="E8" s="237">
        <f>'10'!J8</f>
        <v>470000</v>
      </c>
      <c r="F8" s="357">
        <f t="shared" si="1"/>
        <v>7.8111379847496663</v>
      </c>
      <c r="G8" s="215"/>
      <c r="H8" s="237">
        <v>1174</v>
      </c>
      <c r="I8" s="357">
        <f t="shared" si="2"/>
        <v>17.763655621122712</v>
      </c>
      <c r="J8" s="270"/>
      <c r="K8" s="707">
        <v>0</v>
      </c>
      <c r="L8" s="357">
        <f t="shared" si="3"/>
        <v>0</v>
      </c>
      <c r="M8" s="270"/>
      <c r="N8" s="693">
        <v>0</v>
      </c>
      <c r="O8" s="400">
        <f t="shared" si="4"/>
        <v>0</v>
      </c>
      <c r="P8" s="237"/>
      <c r="Q8" s="237">
        <f t="shared" si="5"/>
        <v>744636</v>
      </c>
      <c r="R8" s="422">
        <f t="shared" si="6"/>
        <v>4.3010556426648252</v>
      </c>
      <c r="S8" s="237">
        <f>'11'!H8</f>
        <v>0</v>
      </c>
      <c r="T8" s="16">
        <v>0</v>
      </c>
      <c r="U8" s="270">
        <v>0</v>
      </c>
      <c r="V8" s="215">
        <v>0</v>
      </c>
      <c r="W8" s="215">
        <v>1174</v>
      </c>
      <c r="X8" s="442">
        <f>SUM(V8:W8)</f>
        <v>1174</v>
      </c>
    </row>
    <row r="9" spans="1:28" s="16" customFormat="1" ht="24" customHeight="1">
      <c r="A9" s="238" t="s">
        <v>71</v>
      </c>
      <c r="B9" s="237">
        <f>'9'!J9</f>
        <v>4000000</v>
      </c>
      <c r="C9" s="320">
        <f t="shared" si="0"/>
        <v>36.061896639391847</v>
      </c>
      <c r="D9" s="257"/>
      <c r="E9" s="237">
        <f>'10'!J9</f>
        <v>250000</v>
      </c>
      <c r="F9" s="357">
        <f t="shared" si="1"/>
        <v>4.1548606301859934</v>
      </c>
      <c r="G9" s="215"/>
      <c r="H9" s="693">
        <v>0</v>
      </c>
      <c r="I9" s="357">
        <f t="shared" si="2"/>
        <v>0</v>
      </c>
      <c r="J9" s="270"/>
      <c r="K9" s="707">
        <v>0</v>
      </c>
      <c r="L9" s="357">
        <f t="shared" si="3"/>
        <v>0</v>
      </c>
      <c r="M9" s="270"/>
      <c r="N9" s="693">
        <v>0</v>
      </c>
      <c r="O9" s="400">
        <f t="shared" si="4"/>
        <v>0</v>
      </c>
      <c r="P9" s="237"/>
      <c r="Q9" s="237">
        <f t="shared" si="5"/>
        <v>4250000</v>
      </c>
      <c r="R9" s="422">
        <f t="shared" si="6"/>
        <v>24.548217493279274</v>
      </c>
      <c r="S9" s="237">
        <f>'11'!H9</f>
        <v>0</v>
      </c>
      <c r="T9" s="16">
        <v>0</v>
      </c>
      <c r="U9" s="270">
        <v>0</v>
      </c>
      <c r="V9" s="215">
        <v>0</v>
      </c>
      <c r="W9" s="215">
        <v>0</v>
      </c>
      <c r="X9" s="442">
        <f>SUM(V9:W9)</f>
        <v>0</v>
      </c>
    </row>
    <row r="10" spans="1:28" s="16" customFormat="1" ht="24" customHeight="1">
      <c r="A10" s="238" t="s">
        <v>62</v>
      </c>
      <c r="B10" s="237">
        <f>'9'!J10</f>
        <v>562980</v>
      </c>
      <c r="C10" s="320">
        <f t="shared" si="0"/>
        <v>5.0755316425112067</v>
      </c>
      <c r="D10" s="257"/>
      <c r="E10" s="237">
        <f>'10'!J10</f>
        <v>307889</v>
      </c>
      <c r="F10" s="357">
        <f t="shared" si="1"/>
        <v>5.1169435382693411</v>
      </c>
      <c r="G10" s="215"/>
      <c r="H10" s="693">
        <v>0</v>
      </c>
      <c r="I10" s="357">
        <f t="shared" si="2"/>
        <v>0</v>
      </c>
      <c r="J10" s="270"/>
      <c r="K10" s="707">
        <v>0</v>
      </c>
      <c r="L10" s="357">
        <f t="shared" si="3"/>
        <v>0</v>
      </c>
      <c r="M10" s="270"/>
      <c r="N10" s="693">
        <v>0</v>
      </c>
      <c r="O10" s="400">
        <f t="shared" si="4"/>
        <v>0</v>
      </c>
      <c r="P10" s="237"/>
      <c r="Q10" s="237">
        <f t="shared" si="5"/>
        <v>870869</v>
      </c>
      <c r="R10" s="422">
        <f t="shared" si="6"/>
        <v>5.0301839106246184</v>
      </c>
      <c r="S10" s="237">
        <f>'11'!H10</f>
        <v>0</v>
      </c>
      <c r="T10" s="16">
        <v>0</v>
      </c>
      <c r="U10" s="270"/>
      <c r="V10" s="215"/>
      <c r="W10" s="215"/>
    </row>
    <row r="11" spans="1:28" s="16" customFormat="1" ht="24" customHeight="1">
      <c r="A11" s="238" t="s">
        <v>64</v>
      </c>
      <c r="B11" s="237">
        <f>'9'!J11</f>
        <v>416647</v>
      </c>
      <c r="C11" s="320">
        <f t="shared" si="0"/>
        <v>3.7562702622781741</v>
      </c>
      <c r="D11" s="257"/>
      <c r="E11" s="237">
        <f>'10'!J11</f>
        <v>446042</v>
      </c>
      <c r="F11" s="357">
        <f t="shared" si="1"/>
        <v>7.4129693808376835</v>
      </c>
      <c r="G11" s="215"/>
      <c r="H11" s="693">
        <v>0</v>
      </c>
      <c r="I11" s="357">
        <f t="shared" si="2"/>
        <v>0</v>
      </c>
      <c r="J11" s="270"/>
      <c r="K11" s="237">
        <f>'12'!K11</f>
        <v>198</v>
      </c>
      <c r="L11" s="357">
        <f t="shared" si="3"/>
        <v>0.10067523592580539</v>
      </c>
      <c r="M11" s="270"/>
      <c r="N11" s="693">
        <v>0</v>
      </c>
      <c r="O11" s="400">
        <f t="shared" si="4"/>
        <v>0</v>
      </c>
      <c r="P11" s="237"/>
      <c r="Q11" s="237">
        <f t="shared" si="5"/>
        <v>862887</v>
      </c>
      <c r="R11" s="422">
        <f t="shared" si="6"/>
        <v>4.9840794701466526</v>
      </c>
      <c r="S11" s="237">
        <f>'11'!H11</f>
        <v>0</v>
      </c>
      <c r="T11" s="16">
        <v>66</v>
      </c>
      <c r="U11" s="270">
        <v>0</v>
      </c>
      <c r="V11" s="215">
        <v>0</v>
      </c>
      <c r="W11" s="215">
        <v>0</v>
      </c>
      <c r="X11" s="442">
        <f t="shared" ref="X11:X21" si="7">SUM(V11:W11)</f>
        <v>0</v>
      </c>
    </row>
    <row r="12" spans="1:28" s="16" customFormat="1" ht="24" customHeight="1">
      <c r="A12" s="238" t="s">
        <v>56</v>
      </c>
      <c r="B12" s="237">
        <f>'9'!J12</f>
        <v>488400</v>
      </c>
      <c r="C12" s="320">
        <f t="shared" si="0"/>
        <v>4.4031575796697453</v>
      </c>
      <c r="D12" s="257"/>
      <c r="E12" s="237">
        <f>'10'!J12</f>
        <v>158875</v>
      </c>
      <c r="F12" s="357">
        <f t="shared" si="1"/>
        <v>2.6404139304831986</v>
      </c>
      <c r="G12" s="215"/>
      <c r="H12" s="237">
        <v>376</v>
      </c>
      <c r="I12" s="357">
        <f t="shared" si="2"/>
        <v>5.6892116810410043</v>
      </c>
      <c r="J12" s="270"/>
      <c r="K12" s="707">
        <v>0</v>
      </c>
      <c r="L12" s="357">
        <f t="shared" si="3"/>
        <v>0</v>
      </c>
      <c r="M12" s="270"/>
      <c r="N12" s="693">
        <v>0</v>
      </c>
      <c r="O12" s="400">
        <f t="shared" si="4"/>
        <v>0</v>
      </c>
      <c r="P12" s="237"/>
      <c r="Q12" s="237">
        <f t="shared" si="5"/>
        <v>647651</v>
      </c>
      <c r="R12" s="422">
        <f t="shared" si="6"/>
        <v>3.7408653194681922</v>
      </c>
      <c r="S12" s="237">
        <f>'11'!H12</f>
        <v>0</v>
      </c>
      <c r="T12" s="16">
        <v>0</v>
      </c>
      <c r="U12" s="421">
        <v>0</v>
      </c>
      <c r="V12" s="211">
        <v>0</v>
      </c>
      <c r="W12" s="211">
        <v>376</v>
      </c>
      <c r="X12" s="442">
        <f t="shared" si="7"/>
        <v>376</v>
      </c>
    </row>
    <row r="13" spans="1:28" s="16" customFormat="1" ht="24" customHeight="1">
      <c r="A13" s="238" t="s">
        <v>63</v>
      </c>
      <c r="B13" s="237">
        <f>'9'!J13</f>
        <v>247989</v>
      </c>
      <c r="C13" s="320">
        <f t="shared" si="0"/>
        <v>2.2357384214265363</v>
      </c>
      <c r="D13" s="257"/>
      <c r="E13" s="237">
        <f>'10'!J13</f>
        <v>340830</v>
      </c>
      <c r="F13" s="357">
        <f t="shared" si="1"/>
        <v>5.664404594345168</v>
      </c>
      <c r="G13" s="215"/>
      <c r="H13" s="237">
        <v>128</v>
      </c>
      <c r="I13" s="357">
        <f t="shared" si="2"/>
        <v>1.9367529126948102</v>
      </c>
      <c r="J13" s="270"/>
      <c r="K13" s="237">
        <v>0</v>
      </c>
      <c r="L13" s="357">
        <f t="shared" si="3"/>
        <v>0</v>
      </c>
      <c r="M13" s="270"/>
      <c r="N13" s="693">
        <v>0</v>
      </c>
      <c r="O13" s="400">
        <f t="shared" si="4"/>
        <v>0</v>
      </c>
      <c r="P13" s="237"/>
      <c r="Q13" s="237">
        <f t="shared" si="5"/>
        <v>588947</v>
      </c>
      <c r="R13" s="422">
        <f t="shared" si="6"/>
        <v>3.4017880112974943</v>
      </c>
      <c r="S13" s="237">
        <f>'11'!H13</f>
        <v>91</v>
      </c>
      <c r="T13" s="16">
        <v>525</v>
      </c>
      <c r="U13" s="270">
        <v>91</v>
      </c>
      <c r="V13" s="215">
        <v>0</v>
      </c>
      <c r="W13" s="215">
        <v>128</v>
      </c>
      <c r="X13" s="897">
        <f t="shared" si="7"/>
        <v>128</v>
      </c>
      <c r="Y13" s="673"/>
      <c r="Z13" s="673"/>
      <c r="AA13" s="673"/>
      <c r="AB13" s="673"/>
    </row>
    <row r="14" spans="1:28" s="16" customFormat="1" ht="24" customHeight="1">
      <c r="A14" s="238" t="s">
        <v>61</v>
      </c>
      <c r="B14" s="237">
        <f>'9'!J14</f>
        <v>348650</v>
      </c>
      <c r="C14" s="320">
        <f t="shared" si="0"/>
        <v>3.1432450658309921</v>
      </c>
      <c r="D14" s="257"/>
      <c r="E14" s="237">
        <f>'10'!J14</f>
        <v>372427</v>
      </c>
      <c r="F14" s="357">
        <f t="shared" si="1"/>
        <v>6.1895291196731161</v>
      </c>
      <c r="G14" s="215"/>
      <c r="H14" s="237">
        <v>836</v>
      </c>
      <c r="I14" s="357">
        <f t="shared" si="2"/>
        <v>12.649417461037979</v>
      </c>
      <c r="J14" s="270"/>
      <c r="K14" s="707">
        <v>0</v>
      </c>
      <c r="L14" s="357">
        <f t="shared" si="3"/>
        <v>0</v>
      </c>
      <c r="M14" s="270"/>
      <c r="N14" s="693">
        <f>'13'!J14</f>
        <v>0</v>
      </c>
      <c r="O14" s="400">
        <f t="shared" si="4"/>
        <v>0</v>
      </c>
      <c r="P14" s="237"/>
      <c r="Q14" s="237">
        <f t="shared" si="5"/>
        <v>721913</v>
      </c>
      <c r="R14" s="422">
        <f t="shared" si="6"/>
        <v>4.1698064318178174</v>
      </c>
      <c r="S14" s="237">
        <f>'11'!H14</f>
        <v>0</v>
      </c>
      <c r="T14" s="16">
        <v>32</v>
      </c>
      <c r="U14" s="270">
        <v>0</v>
      </c>
      <c r="V14" s="215">
        <v>0</v>
      </c>
      <c r="W14" s="215">
        <v>836</v>
      </c>
      <c r="X14" s="442">
        <f t="shared" si="7"/>
        <v>836</v>
      </c>
    </row>
    <row r="15" spans="1:28" s="16" customFormat="1" ht="24" customHeight="1">
      <c r="A15" s="238" t="s">
        <v>65</v>
      </c>
      <c r="B15" s="237">
        <f>'9'!J15</f>
        <v>439000</v>
      </c>
      <c r="C15" s="320">
        <f t="shared" si="0"/>
        <v>3.9577931561732562</v>
      </c>
      <c r="D15" s="257"/>
      <c r="E15" s="237">
        <f>'10'!J15</f>
        <v>313700</v>
      </c>
      <c r="F15" s="357">
        <f t="shared" si="1"/>
        <v>5.2135191187573842</v>
      </c>
      <c r="G15" s="215"/>
      <c r="H15" s="237">
        <v>1800</v>
      </c>
      <c r="I15" s="357">
        <f t="shared" si="2"/>
        <v>27.235587834770769</v>
      </c>
      <c r="J15" s="270"/>
      <c r="K15" s="707">
        <v>0</v>
      </c>
      <c r="L15" s="357">
        <f t="shared" si="3"/>
        <v>0</v>
      </c>
      <c r="M15" s="270"/>
      <c r="N15" s="693">
        <v>16</v>
      </c>
      <c r="O15" s="400">
        <f t="shared" si="4"/>
        <v>3.225806451612903</v>
      </c>
      <c r="P15" s="237"/>
      <c r="Q15" s="237">
        <f t="shared" si="5"/>
        <v>754516</v>
      </c>
      <c r="R15" s="422">
        <f t="shared" si="6"/>
        <v>4.3581230282727308</v>
      </c>
      <c r="S15" s="237">
        <f>'11'!H15</f>
        <v>0</v>
      </c>
      <c r="T15" s="16">
        <v>240</v>
      </c>
      <c r="U15" s="270">
        <v>0</v>
      </c>
      <c r="V15" s="215">
        <v>0</v>
      </c>
      <c r="W15" s="215">
        <v>1800</v>
      </c>
      <c r="X15" s="442">
        <f t="shared" si="7"/>
        <v>1800</v>
      </c>
    </row>
    <row r="16" spans="1:28" s="16" customFormat="1" ht="24" customHeight="1">
      <c r="A16" s="238" t="s">
        <v>66</v>
      </c>
      <c r="B16" s="237">
        <f>'9'!J16</f>
        <v>650000</v>
      </c>
      <c r="C16" s="320">
        <f t="shared" si="0"/>
        <v>5.8600582039011755</v>
      </c>
      <c r="D16" s="257"/>
      <c r="E16" s="237">
        <f>'10'!J16</f>
        <v>130000</v>
      </c>
      <c r="F16" s="357">
        <f t="shared" si="1"/>
        <v>2.1605275276967166</v>
      </c>
      <c r="G16" s="215"/>
      <c r="H16" s="237">
        <f>'11'!K16</f>
        <v>130</v>
      </c>
      <c r="I16" s="357">
        <f t="shared" si="2"/>
        <v>1.9670146769556665</v>
      </c>
      <c r="J16" s="270"/>
      <c r="K16" s="237">
        <f>'12'!K16</f>
        <v>0</v>
      </c>
      <c r="L16" s="357">
        <f t="shared" si="3"/>
        <v>0</v>
      </c>
      <c r="M16" s="270"/>
      <c r="N16" s="693">
        <f>'13'!J16</f>
        <v>440</v>
      </c>
      <c r="O16" s="400">
        <f t="shared" si="4"/>
        <v>88.709677419354833</v>
      </c>
      <c r="P16" s="237"/>
      <c r="Q16" s="237">
        <f t="shared" si="5"/>
        <v>780570</v>
      </c>
      <c r="R16" s="422">
        <f t="shared" si="6"/>
        <v>4.5086122655832952</v>
      </c>
      <c r="S16" s="237">
        <f>'11'!H16</f>
        <v>0</v>
      </c>
      <c r="T16" s="16">
        <v>630</v>
      </c>
      <c r="U16" s="270">
        <v>0</v>
      </c>
      <c r="V16" s="215">
        <v>160</v>
      </c>
      <c r="W16" s="215">
        <v>0</v>
      </c>
      <c r="X16" s="442">
        <f t="shared" si="7"/>
        <v>160</v>
      </c>
    </row>
    <row r="17" spans="1:24" s="16" customFormat="1" ht="24" customHeight="1">
      <c r="A17" s="238" t="s">
        <v>67</v>
      </c>
      <c r="B17" s="237">
        <f>'9'!J17</f>
        <v>154400</v>
      </c>
      <c r="C17" s="320">
        <f t="shared" si="0"/>
        <v>1.3919892102805256</v>
      </c>
      <c r="D17" s="257"/>
      <c r="E17" s="237">
        <f>'10'!J17</f>
        <v>108527</v>
      </c>
      <c r="F17" s="357">
        <f t="shared" si="1"/>
        <v>1.8036582384487811</v>
      </c>
      <c r="G17" s="215"/>
      <c r="H17" s="237">
        <v>500</v>
      </c>
      <c r="I17" s="357">
        <f t="shared" si="2"/>
        <v>7.5654410652141015</v>
      </c>
      <c r="J17" s="270"/>
      <c r="K17" s="707">
        <f>'12'!K17</f>
        <v>0</v>
      </c>
      <c r="L17" s="357">
        <f t="shared" si="3"/>
        <v>0</v>
      </c>
      <c r="M17" s="270"/>
      <c r="N17" s="693">
        <f>'13'!J17</f>
        <v>0</v>
      </c>
      <c r="O17" s="400">
        <f t="shared" si="4"/>
        <v>0</v>
      </c>
      <c r="P17" s="237"/>
      <c r="Q17" s="237">
        <f t="shared" si="5"/>
        <v>263427</v>
      </c>
      <c r="R17" s="422">
        <f t="shared" si="6"/>
        <v>1.5215678328475482</v>
      </c>
      <c r="S17" s="237">
        <f>'11'!H17</f>
        <v>1000</v>
      </c>
      <c r="T17" s="16">
        <v>0</v>
      </c>
      <c r="U17" s="270">
        <v>1000</v>
      </c>
      <c r="V17" s="215">
        <v>0</v>
      </c>
      <c r="W17" s="215">
        <v>500</v>
      </c>
      <c r="X17" s="442">
        <f t="shared" si="7"/>
        <v>500</v>
      </c>
    </row>
    <row r="18" spans="1:24" s="16" customFormat="1" ht="24" customHeight="1">
      <c r="A18" s="238" t="s">
        <v>68</v>
      </c>
      <c r="B18" s="237">
        <f>'9'!J18</f>
        <v>272580</v>
      </c>
      <c r="C18" s="320">
        <f t="shared" si="0"/>
        <v>2.4574379464913578</v>
      </c>
      <c r="D18" s="257"/>
      <c r="E18" s="237">
        <f>'10'!J18</f>
        <v>331515</v>
      </c>
      <c r="F18" s="357">
        <f t="shared" si="1"/>
        <v>5.5095944872644385</v>
      </c>
      <c r="G18" s="215"/>
      <c r="H18" s="237">
        <v>976</v>
      </c>
      <c r="I18" s="357">
        <f t="shared" si="2"/>
        <v>14.767740959297926</v>
      </c>
      <c r="J18" s="270"/>
      <c r="K18" s="707">
        <v>0</v>
      </c>
      <c r="L18" s="357">
        <f t="shared" si="3"/>
        <v>0</v>
      </c>
      <c r="M18" s="270"/>
      <c r="N18" s="693">
        <f>'13'!J18</f>
        <v>0</v>
      </c>
      <c r="O18" s="400">
        <f t="shared" si="4"/>
        <v>0</v>
      </c>
      <c r="P18" s="237"/>
      <c r="Q18" s="237">
        <f t="shared" si="5"/>
        <v>605071</v>
      </c>
      <c r="R18" s="422">
        <f t="shared" si="6"/>
        <v>3.494921060441408</v>
      </c>
      <c r="S18" s="237">
        <v>740</v>
      </c>
      <c r="T18" s="16">
        <v>124</v>
      </c>
      <c r="U18" s="270">
        <v>740</v>
      </c>
      <c r="V18" s="215">
        <v>976</v>
      </c>
      <c r="W18" s="215">
        <v>0</v>
      </c>
      <c r="X18" s="442">
        <f t="shared" si="7"/>
        <v>976</v>
      </c>
    </row>
    <row r="19" spans="1:24" s="16" customFormat="1" ht="24" customHeight="1">
      <c r="A19" s="238" t="s">
        <v>69</v>
      </c>
      <c r="B19" s="237">
        <f>'9'!J19</f>
        <v>194400</v>
      </c>
      <c r="C19" s="320">
        <f t="shared" si="0"/>
        <v>1.7526081766744441</v>
      </c>
      <c r="D19" s="257"/>
      <c r="E19" s="237">
        <f>'10'!J19</f>
        <v>587505</v>
      </c>
      <c r="F19" s="357">
        <f t="shared" si="1"/>
        <v>9.7640055781496873</v>
      </c>
      <c r="G19" s="215"/>
      <c r="H19" s="693">
        <v>0</v>
      </c>
      <c r="I19" s="357">
        <f t="shared" si="2"/>
        <v>0</v>
      </c>
      <c r="J19" s="270"/>
      <c r="K19" s="707">
        <f>'12'!K19</f>
        <v>0</v>
      </c>
      <c r="L19" s="357">
        <f t="shared" si="3"/>
        <v>0</v>
      </c>
      <c r="M19" s="270"/>
      <c r="N19" s="693">
        <f>'13'!J19</f>
        <v>0</v>
      </c>
      <c r="O19" s="400">
        <f t="shared" si="4"/>
        <v>0</v>
      </c>
      <c r="P19" s="237"/>
      <c r="Q19" s="237">
        <f t="shared" si="5"/>
        <v>781905</v>
      </c>
      <c r="R19" s="422">
        <f t="shared" si="6"/>
        <v>4.5163232939017721</v>
      </c>
      <c r="S19" s="237">
        <f>'11'!H19</f>
        <v>4082</v>
      </c>
      <c r="T19" s="16">
        <v>0</v>
      </c>
      <c r="U19" s="270">
        <v>4082</v>
      </c>
      <c r="V19" s="215">
        <v>0</v>
      </c>
      <c r="W19" s="215">
        <v>0</v>
      </c>
      <c r="X19" s="442">
        <f t="shared" si="7"/>
        <v>0</v>
      </c>
    </row>
    <row r="20" spans="1:24" s="16" customFormat="1" ht="24" customHeight="1" thickBot="1">
      <c r="A20" s="694" t="s">
        <v>70</v>
      </c>
      <c r="B20" s="471">
        <f>'9'!J20</f>
        <v>367472</v>
      </c>
      <c r="C20" s="696">
        <f t="shared" si="0"/>
        <v>3.3129343204676505</v>
      </c>
      <c r="D20" s="697"/>
      <c r="E20" s="237">
        <f>'10'!J20</f>
        <v>1649399</v>
      </c>
      <c r="F20" s="699">
        <f t="shared" si="1"/>
        <v>27.412091874272587</v>
      </c>
      <c r="G20" s="469"/>
      <c r="H20" s="695">
        <v>0</v>
      </c>
      <c r="I20" s="699">
        <f t="shared" si="2"/>
        <v>0</v>
      </c>
      <c r="J20" s="700"/>
      <c r="K20" s="708">
        <v>0</v>
      </c>
      <c r="L20" s="699">
        <f t="shared" si="3"/>
        <v>0</v>
      </c>
      <c r="M20" s="700"/>
      <c r="N20" s="695">
        <v>0</v>
      </c>
      <c r="O20" s="701">
        <f t="shared" si="4"/>
        <v>0</v>
      </c>
      <c r="P20" s="702"/>
      <c r="Q20" s="237">
        <f t="shared" si="5"/>
        <v>2016871</v>
      </c>
      <c r="R20" s="698">
        <f t="shared" si="6"/>
        <v>11.64955010915004</v>
      </c>
      <c r="S20" s="237">
        <f>'11'!H20</f>
        <v>15800</v>
      </c>
      <c r="T20" s="16">
        <v>0</v>
      </c>
      <c r="U20" s="421">
        <v>15800</v>
      </c>
      <c r="V20" s="211">
        <v>0</v>
      </c>
      <c r="W20" s="211">
        <v>0</v>
      </c>
      <c r="X20" s="442">
        <f t="shared" si="7"/>
        <v>0</v>
      </c>
    </row>
    <row r="21" spans="1:24" ht="24" customHeight="1" thickTop="1" thickBot="1">
      <c r="A21" s="222" t="s">
        <v>280</v>
      </c>
      <c r="B21" s="239">
        <f>SUM(B5:B20)</f>
        <v>11092040</v>
      </c>
      <c r="C21" s="303">
        <f t="shared" si="0"/>
        <v>100</v>
      </c>
      <c r="D21" s="258"/>
      <c r="E21" s="239">
        <f>SUM(E5:E20)</f>
        <v>6017049</v>
      </c>
      <c r="F21" s="228">
        <f t="shared" si="1"/>
        <v>100</v>
      </c>
      <c r="G21" s="225"/>
      <c r="H21" s="239">
        <f>SUM(H5:H20)</f>
        <v>6609</v>
      </c>
      <c r="I21" s="228">
        <f t="shared" si="2"/>
        <v>100</v>
      </c>
      <c r="J21" s="225"/>
      <c r="K21" s="239">
        <f>SUM(K5:K20)</f>
        <v>196672</v>
      </c>
      <c r="L21" s="228">
        <f t="shared" si="3"/>
        <v>100</v>
      </c>
      <c r="M21" s="225"/>
      <c r="N21" s="239">
        <f>SUM(N5:N20)</f>
        <v>496</v>
      </c>
      <c r="O21" s="229">
        <f t="shared" si="4"/>
        <v>100</v>
      </c>
      <c r="P21" s="239"/>
      <c r="Q21" s="239">
        <f t="shared" si="5"/>
        <v>17312866</v>
      </c>
      <c r="R21" s="303">
        <f t="shared" si="6"/>
        <v>100</v>
      </c>
      <c r="S21" s="239">
        <f>SUM(S5:S20)</f>
        <v>21713</v>
      </c>
      <c r="T21">
        <v>1655</v>
      </c>
      <c r="U21" s="224">
        <f t="shared" ref="U21:W21" si="8">SUM(U5:U20)</f>
        <v>21713</v>
      </c>
      <c r="V21" s="224">
        <f t="shared" si="8"/>
        <v>1136</v>
      </c>
      <c r="W21" s="224">
        <f t="shared" si="8"/>
        <v>5453</v>
      </c>
      <c r="X21" s="353">
        <f t="shared" si="7"/>
        <v>6589</v>
      </c>
    </row>
    <row r="22" spans="1:24" s="206" customFormat="1" ht="24" customHeight="1" thickTop="1">
      <c r="A22" s="1112" t="s">
        <v>509</v>
      </c>
      <c r="B22" s="1135"/>
      <c r="C22" s="1135"/>
      <c r="D22" s="1135"/>
      <c r="E22" s="1135"/>
      <c r="F22" s="1135"/>
      <c r="G22" s="1135"/>
      <c r="H22" s="1135"/>
      <c r="I22" s="1135"/>
      <c r="J22" s="1135"/>
      <c r="K22" s="1135"/>
      <c r="L22" s="362"/>
      <c r="M22" s="362"/>
      <c r="N22" s="362"/>
      <c r="O22" s="362"/>
      <c r="P22" s="362"/>
      <c r="Q22" s="362"/>
    </row>
    <row r="23" spans="1:24" s="206" customFormat="1" ht="21" customHeight="1">
      <c r="A23" s="1138" t="s">
        <v>292</v>
      </c>
      <c r="B23" s="1138"/>
      <c r="C23" s="1138"/>
      <c r="D23" s="1138"/>
      <c r="E23" s="1138"/>
      <c r="F23" s="1138"/>
      <c r="G23" s="1138"/>
      <c r="H23" s="1138"/>
      <c r="I23" s="1138"/>
      <c r="J23" s="1138"/>
      <c r="K23" s="1138"/>
      <c r="L23" s="1138"/>
      <c r="M23" s="1138"/>
      <c r="N23" s="1138"/>
      <c r="O23" s="1138"/>
      <c r="P23" s="1138"/>
      <c r="Q23" s="1138"/>
      <c r="R23" s="208"/>
    </row>
    <row r="24" spans="1:24" s="206" customFormat="1" ht="9.75" customHeight="1">
      <c r="A24" s="1138"/>
      <c r="B24" s="1138"/>
      <c r="C24" s="1138"/>
      <c r="D24" s="1138"/>
      <c r="E24" s="1138"/>
      <c r="F24" s="1138"/>
      <c r="G24" s="1138"/>
      <c r="H24" s="1138"/>
      <c r="I24" s="1138"/>
      <c r="J24" s="1138"/>
      <c r="K24" s="1138"/>
      <c r="L24" s="1138"/>
      <c r="M24" s="1138"/>
      <c r="N24" s="1138"/>
      <c r="O24" s="1138"/>
      <c r="P24" s="1138"/>
      <c r="Q24" s="1138"/>
      <c r="R24" s="208"/>
    </row>
    <row r="25" spans="1:24" ht="24" customHeight="1">
      <c r="A25" s="1146" t="s">
        <v>228</v>
      </c>
      <c r="B25" s="1146"/>
      <c r="C25" s="1146"/>
      <c r="D25" s="1146"/>
      <c r="E25" s="1146"/>
      <c r="F25" s="825"/>
      <c r="G25" s="825"/>
      <c r="H25" s="825"/>
      <c r="I25" s="825"/>
      <c r="J25" s="1146"/>
      <c r="K25" s="1146"/>
      <c r="L25" s="1146"/>
      <c r="M25" s="1146"/>
      <c r="N25" s="1146"/>
      <c r="O25" s="1146"/>
      <c r="P25" s="1146"/>
      <c r="Q25" s="828"/>
      <c r="R25" s="829"/>
      <c r="S25" s="830">
        <v>35</v>
      </c>
    </row>
    <row r="31" spans="1:24">
      <c r="O31">
        <v>16685776</v>
      </c>
    </row>
  </sheetData>
  <mergeCells count="14">
    <mergeCell ref="S3:S4"/>
    <mergeCell ref="A1:S1"/>
    <mergeCell ref="A25:E25"/>
    <mergeCell ref="J25:P25"/>
    <mergeCell ref="A3:A4"/>
    <mergeCell ref="B3:C3"/>
    <mergeCell ref="E3:F3"/>
    <mergeCell ref="H3:I3"/>
    <mergeCell ref="N3:O3"/>
    <mergeCell ref="Q3:R3"/>
    <mergeCell ref="A23:Q23"/>
    <mergeCell ref="A24:Q24"/>
    <mergeCell ref="K3:L3"/>
    <mergeCell ref="A22:K22"/>
  </mergeCells>
  <printOptions horizontalCentered="1"/>
  <pageMargins left="0.51180993000874897" right="0.51180993000874897" top="0.55118110236220497" bottom="0.55118110236220497" header="0.31496062992126" footer="0.31496062992126"/>
  <pageSetup paperSize="9" scale="86"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AK26"/>
  <sheetViews>
    <sheetView rightToLeft="1" view="pageBreakPreview" zoomScale="90" zoomScaleNormal="110" zoomScaleSheetLayoutView="90" workbookViewId="0">
      <pane ySplit="4" topLeftCell="A5" activePane="bottomLeft" state="frozen"/>
      <selection pane="bottomLeft" activeCell="U26" sqref="U26"/>
    </sheetView>
  </sheetViews>
  <sheetFormatPr defaultRowHeight="15"/>
  <cols>
    <col min="1" max="1" width="10" customWidth="1"/>
    <col min="2" max="2" width="11.7109375" customWidth="1"/>
    <col min="3" max="3" width="6.7109375" customWidth="1"/>
    <col min="4" max="4" width="1.42578125" customWidth="1"/>
    <col min="5" max="5" width="11.7109375" customWidth="1"/>
    <col min="6" max="6" width="6.7109375" customWidth="1"/>
    <col min="7" max="7" width="1.28515625" customWidth="1"/>
    <col min="8" max="8" width="10.140625" customWidth="1"/>
    <col min="9" max="9" width="6.7109375" customWidth="1"/>
    <col min="10" max="10" width="1.42578125" customWidth="1"/>
    <col min="11" max="11" width="11.7109375" customWidth="1"/>
    <col min="12" max="12" width="6.140625" customWidth="1"/>
    <col min="13" max="13" width="1.42578125" customWidth="1"/>
    <col min="14" max="14" width="10.85546875" customWidth="1"/>
    <col min="15" max="15" width="6.7109375" customWidth="1"/>
    <col min="16" max="16" width="1.42578125" customWidth="1"/>
    <col min="17" max="17" width="12.140625" customWidth="1"/>
    <col min="18" max="18" width="9.28515625" customWidth="1"/>
    <col min="19" max="19" width="1.42578125" customWidth="1"/>
    <col min="20" max="20" width="11.7109375" customWidth="1"/>
    <col min="21" max="21" width="6.7109375" customWidth="1"/>
    <col min="22" max="22" width="9" style="12"/>
  </cols>
  <sheetData>
    <row r="1" spans="1:37" ht="30" customHeight="1">
      <c r="A1" s="1150" t="s">
        <v>521</v>
      </c>
      <c r="B1" s="1150"/>
      <c r="C1" s="1150"/>
      <c r="D1" s="1150"/>
      <c r="E1" s="1150"/>
      <c r="F1" s="1150"/>
      <c r="G1" s="1150"/>
      <c r="H1" s="1150"/>
      <c r="I1" s="1150"/>
      <c r="J1" s="1150"/>
      <c r="K1" s="1150"/>
      <c r="L1" s="1150"/>
      <c r="M1" s="1150"/>
      <c r="N1" s="1150"/>
      <c r="O1" s="1150"/>
      <c r="P1" s="1150"/>
      <c r="Q1" s="1150"/>
      <c r="R1" s="1150"/>
      <c r="S1" s="1150"/>
      <c r="T1" s="1150"/>
    </row>
    <row r="2" spans="1:37" ht="22.5" customHeight="1" thickBot="1">
      <c r="A2" s="235" t="s">
        <v>378</v>
      </c>
      <c r="B2" s="236"/>
      <c r="C2" s="236"/>
      <c r="D2" s="236"/>
      <c r="E2" s="236"/>
      <c r="F2" s="236"/>
      <c r="G2" s="236"/>
      <c r="H2" s="236"/>
      <c r="I2" s="236"/>
      <c r="J2" s="235"/>
      <c r="K2" s="236"/>
      <c r="L2" s="236"/>
      <c r="M2" s="235"/>
      <c r="N2" s="236"/>
      <c r="O2" s="236"/>
      <c r="P2" s="236"/>
      <c r="Q2" s="236"/>
      <c r="R2" s="236"/>
      <c r="S2" s="236"/>
      <c r="T2" s="236"/>
    </row>
    <row r="3" spans="1:37" ht="39" customHeight="1" thickTop="1">
      <c r="A3" s="1147" t="s">
        <v>57</v>
      </c>
      <c r="B3" s="1153" t="s">
        <v>234</v>
      </c>
      <c r="C3" s="1153"/>
      <c r="D3" s="730"/>
      <c r="E3" s="1153" t="s">
        <v>229</v>
      </c>
      <c r="F3" s="1153"/>
      <c r="G3" s="730"/>
      <c r="H3" s="1153" t="s">
        <v>231</v>
      </c>
      <c r="I3" s="1153"/>
      <c r="J3" s="730"/>
      <c r="K3" s="1153" t="s">
        <v>309</v>
      </c>
      <c r="L3" s="1153"/>
      <c r="M3" s="730"/>
      <c r="N3" s="1153" t="s">
        <v>233</v>
      </c>
      <c r="O3" s="1153"/>
      <c r="P3" s="730"/>
      <c r="Q3" s="1154" t="s">
        <v>288</v>
      </c>
      <c r="R3" s="1154"/>
      <c r="S3" s="730"/>
      <c r="T3" s="1153" t="s">
        <v>294</v>
      </c>
      <c r="U3" s="1153"/>
    </row>
    <row r="4" spans="1:37" ht="29.25" customHeight="1">
      <c r="A4" s="1148"/>
      <c r="B4" s="729" t="s">
        <v>282</v>
      </c>
      <c r="C4" s="268" t="s">
        <v>227</v>
      </c>
      <c r="D4" s="256"/>
      <c r="E4" s="729" t="s">
        <v>282</v>
      </c>
      <c r="F4" s="268" t="s">
        <v>227</v>
      </c>
      <c r="G4" s="256"/>
      <c r="H4" s="729" t="s">
        <v>282</v>
      </c>
      <c r="I4" s="268" t="s">
        <v>227</v>
      </c>
      <c r="J4" s="256"/>
      <c r="K4" s="729" t="s">
        <v>282</v>
      </c>
      <c r="L4" s="268" t="s">
        <v>227</v>
      </c>
      <c r="M4" s="256"/>
      <c r="N4" s="729" t="s">
        <v>282</v>
      </c>
      <c r="O4" s="268" t="s">
        <v>227</v>
      </c>
      <c r="P4" s="256"/>
      <c r="Q4" s="731" t="s">
        <v>282</v>
      </c>
      <c r="R4" s="268" t="s">
        <v>227</v>
      </c>
      <c r="S4" s="256"/>
      <c r="T4" s="729" t="s">
        <v>282</v>
      </c>
      <c r="U4" s="268" t="s">
        <v>227</v>
      </c>
    </row>
    <row r="5" spans="1:37" s="16" customFormat="1" ht="24.75" customHeight="1">
      <c r="A5" s="455" t="s">
        <v>58</v>
      </c>
      <c r="B5" s="215">
        <f>'9'!G5</f>
        <v>1639200</v>
      </c>
      <c r="C5" s="906">
        <f>B5/$B$21*100</f>
        <v>15.80893181501235</v>
      </c>
      <c r="D5" s="257"/>
      <c r="E5" s="237">
        <f>'10'!G5</f>
        <v>240375</v>
      </c>
      <c r="F5" s="420">
        <f>E5/$E$21*100</f>
        <v>4.2958696564787608</v>
      </c>
      <c r="G5" s="215"/>
      <c r="H5" s="397">
        <f>'11'!G5</f>
        <v>0</v>
      </c>
      <c r="I5" s="420">
        <f>H5/$H$21*100</f>
        <v>0</v>
      </c>
      <c r="J5" s="421"/>
      <c r="K5" s="237">
        <f>'12'!J5</f>
        <v>123000</v>
      </c>
      <c r="L5" s="420">
        <f>K5/$K$21*100</f>
        <v>63.679428438300846</v>
      </c>
      <c r="M5" s="421"/>
      <c r="N5" s="270">
        <v>0</v>
      </c>
      <c r="O5" s="400">
        <f>N5/$N$21*100</f>
        <v>0</v>
      </c>
      <c r="P5" s="237"/>
      <c r="Q5" s="237">
        <f>'11'!H5</f>
        <v>0</v>
      </c>
      <c r="R5" s="423">
        <f>Q5/$Q$21*100</f>
        <v>0</v>
      </c>
      <c r="S5" s="237"/>
      <c r="T5" s="237">
        <f>B5+E5+H5+K5+N5+Q5</f>
        <v>2002575</v>
      </c>
      <c r="U5" s="423">
        <f>T5/$T$21*100</f>
        <v>12.395958319942279</v>
      </c>
      <c r="V5" s="304"/>
      <c r="W5" s="215">
        <v>0</v>
      </c>
      <c r="X5" s="320"/>
      <c r="Y5" s="257"/>
      <c r="Z5" s="418">
        <v>0</v>
      </c>
      <c r="AA5" s="419"/>
      <c r="AB5" s="215"/>
      <c r="AC5" s="397">
        <v>0</v>
      </c>
      <c r="AD5" s="420"/>
      <c r="AE5" s="421"/>
      <c r="AF5" s="397">
        <v>0</v>
      </c>
      <c r="AG5" s="420"/>
      <c r="AH5" s="421"/>
      <c r="AI5" s="270">
        <v>0</v>
      </c>
      <c r="AK5" s="442">
        <f>W5+Z5+AC5+AF5+AI5</f>
        <v>0</v>
      </c>
    </row>
    <row r="6" spans="1:37" s="16" customFormat="1" ht="24.75" customHeight="1">
      <c r="A6" s="455" t="s">
        <v>59</v>
      </c>
      <c r="B6" s="215">
        <f>'9'!G6</f>
        <v>487475</v>
      </c>
      <c r="C6" s="320">
        <f t="shared" ref="C6:C21" si="0">B6/$B$21*100</f>
        <v>4.7013537314074831</v>
      </c>
      <c r="D6" s="257"/>
      <c r="E6" s="237">
        <f>'10'!G6</f>
        <v>106876</v>
      </c>
      <c r="F6" s="420">
        <f t="shared" ref="F6:F21" si="1">E6/$E$21*100</f>
        <v>1.9100379216050924</v>
      </c>
      <c r="G6" s="215"/>
      <c r="H6" s="397">
        <f>'11'!G6</f>
        <v>609</v>
      </c>
      <c r="I6" s="420">
        <f t="shared" ref="I6:I21" si="2">H6/$H$21*100</f>
        <v>3.1955084478958966</v>
      </c>
      <c r="J6" s="421"/>
      <c r="K6" s="237">
        <f>'12'!J6</f>
        <v>69975</v>
      </c>
      <c r="L6" s="420">
        <f t="shared" ref="L6:L21" si="3">K6/$K$21*100</f>
        <v>36.227382154228472</v>
      </c>
      <c r="M6" s="421"/>
      <c r="N6" s="270">
        <v>0</v>
      </c>
      <c r="O6" s="400">
        <f t="shared" ref="O6:O21" si="4">N6/$N$21*100</f>
        <v>0</v>
      </c>
      <c r="P6" s="237"/>
      <c r="Q6" s="237">
        <f>'11'!H6</f>
        <v>0</v>
      </c>
      <c r="R6" s="423">
        <f t="shared" ref="R6:R21" si="5">Q6/$Q$21*100</f>
        <v>0</v>
      </c>
      <c r="S6" s="237"/>
      <c r="T6" s="237">
        <f>B6+E6+H6+K6+N6+Q6</f>
        <v>664935</v>
      </c>
      <c r="U6" s="423">
        <f t="shared" ref="U6:U21" si="6">T6/$T$21*100</f>
        <v>4.1159539819836066</v>
      </c>
      <c r="V6" s="304"/>
      <c r="W6" s="215">
        <v>312048</v>
      </c>
      <c r="X6" s="320"/>
      <c r="Y6" s="257"/>
      <c r="Z6" s="418">
        <v>20878</v>
      </c>
      <c r="AA6" s="419"/>
      <c r="AB6" s="215"/>
      <c r="AC6" s="397">
        <v>558</v>
      </c>
      <c r="AD6" s="420"/>
      <c r="AE6" s="421"/>
      <c r="AF6" s="397">
        <v>78167</v>
      </c>
      <c r="AG6" s="420"/>
      <c r="AH6" s="421"/>
      <c r="AI6" s="270">
        <v>0</v>
      </c>
      <c r="AK6" s="442">
        <f t="shared" ref="AK6:AK20" si="7">W6+Z6+AC6+AF6+AI6</f>
        <v>411651</v>
      </c>
    </row>
    <row r="7" spans="1:37" s="16" customFormat="1" ht="24.75" customHeight="1">
      <c r="A7" s="576" t="s">
        <v>60</v>
      </c>
      <c r="B7" s="215">
        <v>387326</v>
      </c>
      <c r="C7" s="320">
        <f t="shared" si="0"/>
        <v>3.7354870206085127</v>
      </c>
      <c r="D7" s="257"/>
      <c r="E7" s="237">
        <v>168842</v>
      </c>
      <c r="F7" s="420">
        <f t="shared" si="1"/>
        <v>3.017465312695526</v>
      </c>
      <c r="G7" s="215"/>
      <c r="H7" s="397">
        <f>'11'!G7</f>
        <v>39</v>
      </c>
      <c r="I7" s="420">
        <f t="shared" si="2"/>
        <v>0.20463847203274216</v>
      </c>
      <c r="J7" s="270"/>
      <c r="K7" s="397">
        <f>'12'!J7</f>
        <v>0</v>
      </c>
      <c r="L7" s="420">
        <f t="shared" si="3"/>
        <v>0</v>
      </c>
      <c r="M7" s="270"/>
      <c r="N7" s="270">
        <f>'13'!G7</f>
        <v>36</v>
      </c>
      <c r="O7" s="400">
        <f t="shared" si="4"/>
        <v>14.342629482071715</v>
      </c>
      <c r="P7" s="237"/>
      <c r="Q7" s="237">
        <f>'11'!H7</f>
        <v>0</v>
      </c>
      <c r="R7" s="423">
        <f t="shared" si="5"/>
        <v>0</v>
      </c>
      <c r="S7" s="237"/>
      <c r="T7" s="237">
        <f t="shared" ref="T7:T13" si="8">B7+E7+H7+K7+N7-Q7</f>
        <v>556243</v>
      </c>
      <c r="U7" s="423">
        <f t="shared" si="6"/>
        <v>3.44314946694114</v>
      </c>
      <c r="V7" s="304"/>
      <c r="W7" s="215">
        <v>350098</v>
      </c>
      <c r="X7" s="320"/>
      <c r="Y7" s="257"/>
      <c r="Z7" s="418">
        <v>300600</v>
      </c>
      <c r="AA7" s="419"/>
      <c r="AB7" s="215"/>
      <c r="AC7" s="397">
        <v>442</v>
      </c>
      <c r="AD7" s="420"/>
      <c r="AE7" s="270"/>
      <c r="AF7" s="397">
        <v>0</v>
      </c>
      <c r="AG7" s="420"/>
      <c r="AH7" s="270"/>
      <c r="AI7" s="270">
        <v>660</v>
      </c>
      <c r="AK7" s="442">
        <f t="shared" si="7"/>
        <v>651800</v>
      </c>
    </row>
    <row r="8" spans="1:37" s="16" customFormat="1" ht="24.75" customHeight="1">
      <c r="A8" s="549" t="s">
        <v>296</v>
      </c>
      <c r="B8" s="215">
        <f>'9'!G8</f>
        <v>260440</v>
      </c>
      <c r="C8" s="320">
        <f t="shared" si="0"/>
        <v>2.5117607381050613</v>
      </c>
      <c r="D8" s="257"/>
      <c r="E8" s="237">
        <f>'10'!G8</f>
        <v>448000</v>
      </c>
      <c r="F8" s="420">
        <f t="shared" si="1"/>
        <v>8.0064466192511077</v>
      </c>
      <c r="G8" s="215"/>
      <c r="H8" s="237">
        <f>'11'!G8</f>
        <v>587</v>
      </c>
      <c r="I8" s="420">
        <f t="shared" si="2"/>
        <v>3.080071361108196</v>
      </c>
      <c r="J8" s="421"/>
      <c r="K8" s="397">
        <v>0</v>
      </c>
      <c r="L8" s="420">
        <f t="shared" si="3"/>
        <v>0</v>
      </c>
      <c r="M8" s="421"/>
      <c r="N8" s="270">
        <v>0</v>
      </c>
      <c r="O8" s="400">
        <f t="shared" si="4"/>
        <v>0</v>
      </c>
      <c r="P8" s="237"/>
      <c r="Q8" s="237">
        <f>'11'!H8</f>
        <v>0</v>
      </c>
      <c r="R8" s="423">
        <f t="shared" si="5"/>
        <v>0</v>
      </c>
      <c r="S8" s="237"/>
      <c r="T8" s="237">
        <f t="shared" si="8"/>
        <v>709027</v>
      </c>
      <c r="U8" s="423">
        <f t="shared" si="6"/>
        <v>4.3888838818589644</v>
      </c>
      <c r="V8" s="304"/>
      <c r="W8" s="215">
        <v>0</v>
      </c>
      <c r="X8" s="320"/>
      <c r="Y8" s="257"/>
      <c r="Z8" s="418">
        <v>0</v>
      </c>
      <c r="AA8" s="419"/>
      <c r="AB8" s="215"/>
      <c r="AC8" s="397">
        <v>0</v>
      </c>
      <c r="AD8" s="420"/>
      <c r="AE8" s="421"/>
      <c r="AF8" s="397">
        <v>0</v>
      </c>
      <c r="AG8" s="420"/>
      <c r="AH8" s="421"/>
      <c r="AI8" s="270">
        <v>0</v>
      </c>
      <c r="AK8" s="442">
        <f t="shared" si="7"/>
        <v>0</v>
      </c>
    </row>
    <row r="9" spans="1:37" s="16" customFormat="1" ht="24.75" customHeight="1">
      <c r="A9" s="238" t="s">
        <v>71</v>
      </c>
      <c r="B9" s="215">
        <f>'9'!G9</f>
        <v>3888000</v>
      </c>
      <c r="C9" s="320">
        <f t="shared" si="0"/>
        <v>37.497027145417292</v>
      </c>
      <c r="D9" s="257"/>
      <c r="E9" s="237">
        <f>'10'!G9</f>
        <v>205000</v>
      </c>
      <c r="F9" s="420">
        <f t="shared" si="1"/>
        <v>3.663664189612672</v>
      </c>
      <c r="G9" s="215"/>
      <c r="H9" s="397">
        <f>'11'!G9</f>
        <v>0</v>
      </c>
      <c r="I9" s="420">
        <f t="shared" si="2"/>
        <v>0</v>
      </c>
      <c r="J9" s="270"/>
      <c r="K9" s="397">
        <v>0</v>
      </c>
      <c r="L9" s="420">
        <f t="shared" si="3"/>
        <v>0</v>
      </c>
      <c r="M9" s="270"/>
      <c r="N9" s="270">
        <v>0</v>
      </c>
      <c r="O9" s="400">
        <f t="shared" si="4"/>
        <v>0</v>
      </c>
      <c r="P9" s="237"/>
      <c r="Q9" s="237">
        <f>'11'!H9</f>
        <v>0</v>
      </c>
      <c r="R9" s="423">
        <f t="shared" si="5"/>
        <v>0</v>
      </c>
      <c r="S9" s="237"/>
      <c r="T9" s="237">
        <f t="shared" si="8"/>
        <v>4093000</v>
      </c>
      <c r="U9" s="423">
        <f t="shared" si="6"/>
        <v>25.33570897645469</v>
      </c>
      <c r="V9" s="304"/>
      <c r="W9" s="215">
        <v>3888000</v>
      </c>
      <c r="X9" s="320"/>
      <c r="Y9" s="257"/>
      <c r="Z9" s="418">
        <v>199612</v>
      </c>
      <c r="AA9" s="419"/>
      <c r="AB9" s="215"/>
      <c r="AC9" s="397">
        <v>0</v>
      </c>
      <c r="AD9" s="420"/>
      <c r="AE9" s="270"/>
      <c r="AF9" s="397">
        <v>0</v>
      </c>
      <c r="AG9" s="420"/>
      <c r="AH9" s="270"/>
      <c r="AI9" s="270">
        <v>0</v>
      </c>
      <c r="AK9" s="442">
        <f t="shared" si="7"/>
        <v>4087612</v>
      </c>
    </row>
    <row r="10" spans="1:37" s="16" customFormat="1" ht="24.75" customHeight="1">
      <c r="A10" s="238" t="s">
        <v>62</v>
      </c>
      <c r="B10" s="215">
        <f>'9'!G10</f>
        <v>511800</v>
      </c>
      <c r="C10" s="320">
        <f t="shared" si="0"/>
        <v>4.935951258493974</v>
      </c>
      <c r="E10" s="237">
        <f>'10'!G10</f>
        <v>279899</v>
      </c>
      <c r="F10" s="420">
        <f t="shared" si="1"/>
        <v>5.0022241122360844</v>
      </c>
      <c r="H10" s="397">
        <f>'11'!G10</f>
        <v>0</v>
      </c>
      <c r="I10" s="420">
        <f t="shared" si="2"/>
        <v>0</v>
      </c>
      <c r="K10" s="397">
        <v>0</v>
      </c>
      <c r="L10" s="420">
        <f t="shared" si="3"/>
        <v>0</v>
      </c>
      <c r="M10" s="270"/>
      <c r="N10" s="270">
        <v>0</v>
      </c>
      <c r="O10" s="400">
        <f t="shared" si="4"/>
        <v>0</v>
      </c>
      <c r="Q10" s="237">
        <f>'11'!H10</f>
        <v>0</v>
      </c>
      <c r="R10" s="423">
        <f t="shared" si="5"/>
        <v>0</v>
      </c>
      <c r="T10" s="237">
        <f t="shared" si="8"/>
        <v>791699</v>
      </c>
      <c r="U10" s="423">
        <f t="shared" si="6"/>
        <v>4.9006243491204984</v>
      </c>
      <c r="V10" s="304"/>
      <c r="W10" s="215">
        <v>524000</v>
      </c>
      <c r="X10" s="320"/>
      <c r="Z10" s="418">
        <v>282894</v>
      </c>
      <c r="AA10" s="419"/>
      <c r="AC10" s="397">
        <v>0</v>
      </c>
      <c r="AD10" s="420"/>
      <c r="AF10" s="397">
        <v>0</v>
      </c>
      <c r="AG10" s="420"/>
      <c r="AH10" s="270"/>
      <c r="AI10" s="270">
        <v>174</v>
      </c>
      <c r="AK10" s="442">
        <f t="shared" si="7"/>
        <v>807068</v>
      </c>
    </row>
    <row r="11" spans="1:37" s="16" customFormat="1" ht="24.75" customHeight="1">
      <c r="A11" s="238" t="s">
        <v>64</v>
      </c>
      <c r="B11" s="215">
        <f>'9'!G11</f>
        <v>378770</v>
      </c>
      <c r="C11" s="320">
        <f t="shared" si="0"/>
        <v>3.6529704145755417</v>
      </c>
      <c r="D11" s="257"/>
      <c r="E11" s="237">
        <f>'10'!G11</f>
        <v>405493</v>
      </c>
      <c r="F11" s="420">
        <f t="shared" si="1"/>
        <v>7.2467813816517621</v>
      </c>
      <c r="G11" s="215"/>
      <c r="H11" s="397">
        <f>'11'!G11</f>
        <v>0</v>
      </c>
      <c r="I11" s="420">
        <f t="shared" si="2"/>
        <v>0</v>
      </c>
      <c r="J11" s="270"/>
      <c r="K11" s="397">
        <v>180</v>
      </c>
      <c r="L11" s="420">
        <f t="shared" si="3"/>
        <v>9.3189407470684174E-2</v>
      </c>
      <c r="M11" s="270"/>
      <c r="N11" s="270">
        <f>'13'!G11</f>
        <v>0</v>
      </c>
      <c r="O11" s="400">
        <f t="shared" si="4"/>
        <v>0</v>
      </c>
      <c r="P11" s="237"/>
      <c r="Q11" s="237">
        <f>'11'!H11</f>
        <v>0</v>
      </c>
      <c r="R11" s="423">
        <f t="shared" si="5"/>
        <v>0</v>
      </c>
      <c r="S11" s="237"/>
      <c r="T11" s="237">
        <f t="shared" si="8"/>
        <v>784443</v>
      </c>
      <c r="U11" s="423">
        <f t="shared" si="6"/>
        <v>4.8557096400237105</v>
      </c>
      <c r="V11" s="304"/>
      <c r="W11" s="215">
        <v>263976</v>
      </c>
      <c r="X11" s="320"/>
      <c r="Y11" s="257"/>
      <c r="Z11" s="418">
        <v>385835</v>
      </c>
      <c r="AA11" s="419"/>
      <c r="AB11" s="215"/>
      <c r="AC11" s="397">
        <v>153</v>
      </c>
      <c r="AD11" s="420"/>
      <c r="AE11" s="270"/>
      <c r="AF11" s="397">
        <v>0</v>
      </c>
      <c r="AG11" s="420"/>
      <c r="AH11" s="270"/>
      <c r="AI11" s="270">
        <v>1417</v>
      </c>
      <c r="AK11" s="442">
        <f t="shared" si="7"/>
        <v>651381</v>
      </c>
    </row>
    <row r="12" spans="1:37" s="16" customFormat="1" ht="24.75" customHeight="1">
      <c r="A12" s="238" t="s">
        <v>56</v>
      </c>
      <c r="B12" s="215">
        <f>'9'!G12</f>
        <v>444000</v>
      </c>
      <c r="C12" s="320">
        <f t="shared" si="0"/>
        <v>4.2820679147544434</v>
      </c>
      <c r="D12" s="257"/>
      <c r="E12" s="237">
        <f>'10'!G12</f>
        <v>144432</v>
      </c>
      <c r="F12" s="420">
        <f t="shared" si="1"/>
        <v>2.5812212011421343</v>
      </c>
      <c r="G12" s="215"/>
      <c r="H12" s="397">
        <f>'11'!G12</f>
        <v>342</v>
      </c>
      <c r="I12" s="420">
        <f t="shared" si="2"/>
        <v>1.7945219855178927</v>
      </c>
      <c r="J12" s="270"/>
      <c r="K12" s="397">
        <v>0</v>
      </c>
      <c r="L12" s="420">
        <f t="shared" si="3"/>
        <v>0</v>
      </c>
      <c r="M12" s="270"/>
      <c r="N12" s="270">
        <v>0</v>
      </c>
      <c r="O12" s="400">
        <f t="shared" si="4"/>
        <v>0</v>
      </c>
      <c r="P12" s="237"/>
      <c r="Q12" s="237">
        <f>'11'!H12</f>
        <v>0</v>
      </c>
      <c r="R12" s="423">
        <f t="shared" si="5"/>
        <v>0</v>
      </c>
      <c r="S12" s="237"/>
      <c r="T12" s="237">
        <f t="shared" si="8"/>
        <v>588774</v>
      </c>
      <c r="U12" s="423">
        <f t="shared" si="6"/>
        <v>3.64451666672444</v>
      </c>
      <c r="V12" s="304"/>
      <c r="W12" s="215">
        <v>478720</v>
      </c>
      <c r="X12" s="320"/>
      <c r="Y12" s="257"/>
      <c r="Z12" s="418">
        <v>92044</v>
      </c>
      <c r="AA12" s="419"/>
      <c r="AB12" s="215"/>
      <c r="AC12" s="397">
        <v>310</v>
      </c>
      <c r="AD12" s="420"/>
      <c r="AE12" s="270"/>
      <c r="AF12" s="397">
        <v>0</v>
      </c>
      <c r="AG12" s="420"/>
      <c r="AH12" s="270"/>
      <c r="AI12" s="270">
        <v>0</v>
      </c>
      <c r="AK12" s="442">
        <f t="shared" si="7"/>
        <v>571074</v>
      </c>
    </row>
    <row r="13" spans="1:37" s="16" customFormat="1" ht="24.75" customHeight="1">
      <c r="A13" s="238" t="s">
        <v>63</v>
      </c>
      <c r="B13" s="215">
        <f>'9'!G13</f>
        <v>236180</v>
      </c>
      <c r="C13" s="320">
        <f t="shared" si="0"/>
        <v>2.2777900903304156</v>
      </c>
      <c r="D13" s="257"/>
      <c r="E13" s="237">
        <f>'10'!G13</f>
        <v>324600</v>
      </c>
      <c r="F13" s="420">
        <f t="shared" si="1"/>
        <v>5.8010994924306019</v>
      </c>
      <c r="G13" s="215"/>
      <c r="H13" s="397">
        <f>'11'!G13</f>
        <v>209</v>
      </c>
      <c r="I13" s="420">
        <f t="shared" si="2"/>
        <v>1.0966523244831567</v>
      </c>
      <c r="J13" s="270"/>
      <c r="K13" s="397">
        <v>0</v>
      </c>
      <c r="L13" s="420">
        <f t="shared" si="3"/>
        <v>0</v>
      </c>
      <c r="M13" s="270"/>
      <c r="N13" s="270">
        <v>0</v>
      </c>
      <c r="O13" s="400">
        <f t="shared" si="4"/>
        <v>0</v>
      </c>
      <c r="P13" s="237"/>
      <c r="Q13" s="237">
        <f>'11'!H13</f>
        <v>91</v>
      </c>
      <c r="R13" s="423">
        <f t="shared" si="5"/>
        <v>0.41910376272279282</v>
      </c>
      <c r="S13" s="237"/>
      <c r="T13" s="237">
        <f t="shared" si="8"/>
        <v>560898</v>
      </c>
      <c r="U13" s="423">
        <f t="shared" si="6"/>
        <v>3.471963961269358</v>
      </c>
      <c r="V13" s="304"/>
      <c r="W13" s="215">
        <v>339900</v>
      </c>
      <c r="X13" s="320"/>
      <c r="Y13" s="257"/>
      <c r="Z13" s="418">
        <v>334529</v>
      </c>
      <c r="AA13" s="419"/>
      <c r="AB13" s="215"/>
      <c r="AC13" s="397">
        <v>403</v>
      </c>
      <c r="AD13" s="420"/>
      <c r="AE13" s="270"/>
      <c r="AF13" s="397">
        <v>0</v>
      </c>
      <c r="AG13" s="420"/>
      <c r="AH13" s="270"/>
      <c r="AI13" s="270">
        <v>222</v>
      </c>
      <c r="AK13" s="442">
        <f t="shared" si="7"/>
        <v>675054</v>
      </c>
    </row>
    <row r="14" spans="1:37" s="16" customFormat="1" ht="24.75" customHeight="1">
      <c r="A14" s="238" t="s">
        <v>61</v>
      </c>
      <c r="B14" s="215">
        <f>'9'!G14</f>
        <v>333620</v>
      </c>
      <c r="C14" s="320">
        <f t="shared" si="0"/>
        <v>3.2175304002711207</v>
      </c>
      <c r="D14" s="257"/>
      <c r="E14" s="237">
        <f>'10'!G14</f>
        <v>336088</v>
      </c>
      <c r="F14" s="420">
        <f t="shared" si="1"/>
        <v>6.0064076593099696</v>
      </c>
      <c r="G14" s="215"/>
      <c r="H14" s="237">
        <f>'11'!G14</f>
        <v>760</v>
      </c>
      <c r="I14" s="420">
        <f t="shared" si="2"/>
        <v>3.9878266344842062</v>
      </c>
      <c r="J14" s="270"/>
      <c r="K14" s="397">
        <f>'12'!J14</f>
        <v>0</v>
      </c>
      <c r="L14" s="420">
        <f t="shared" si="3"/>
        <v>0</v>
      </c>
      <c r="M14" s="270"/>
      <c r="N14" s="270">
        <f>'13'!G14</f>
        <v>0</v>
      </c>
      <c r="O14" s="400">
        <f t="shared" si="4"/>
        <v>0</v>
      </c>
      <c r="P14" s="237"/>
      <c r="Q14" s="237">
        <f>'11'!H14</f>
        <v>0</v>
      </c>
      <c r="R14" s="423">
        <f t="shared" si="5"/>
        <v>0</v>
      </c>
      <c r="S14" s="237"/>
      <c r="T14" s="237">
        <f t="shared" ref="T14:T20" si="9">B14+E14+H14+K14+N14-Q14</f>
        <v>670468</v>
      </c>
      <c r="U14" s="423">
        <f t="shared" si="6"/>
        <v>4.1502033046727638</v>
      </c>
      <c r="V14" s="304"/>
      <c r="W14" s="215">
        <v>239720</v>
      </c>
      <c r="X14" s="320"/>
      <c r="Y14" s="257"/>
      <c r="Z14" s="418">
        <v>257820</v>
      </c>
      <c r="AA14" s="419"/>
      <c r="AB14" s="215"/>
      <c r="AC14" s="397">
        <v>80</v>
      </c>
      <c r="AD14" s="420"/>
      <c r="AE14" s="270"/>
      <c r="AF14" s="397">
        <v>3000</v>
      </c>
      <c r="AG14" s="420"/>
      <c r="AH14" s="270"/>
      <c r="AI14" s="270">
        <v>102</v>
      </c>
      <c r="AK14" s="442">
        <f t="shared" si="7"/>
        <v>500722</v>
      </c>
    </row>
    <row r="15" spans="1:37" s="16" customFormat="1" ht="24.75" customHeight="1">
      <c r="A15" s="238" t="s">
        <v>65</v>
      </c>
      <c r="B15" s="215">
        <f>'9'!G15</f>
        <v>418000</v>
      </c>
      <c r="C15" s="320">
        <f t="shared" si="0"/>
        <v>4.0313161900165708</v>
      </c>
      <c r="D15" s="257"/>
      <c r="E15" s="237">
        <f>'10'!G15</f>
        <v>298760</v>
      </c>
      <c r="F15" s="420">
        <f t="shared" si="1"/>
        <v>5.3392990892130818</v>
      </c>
      <c r="G15" s="215"/>
      <c r="H15" s="237">
        <f>'11'!G15</f>
        <v>1600</v>
      </c>
      <c r="I15" s="420">
        <f t="shared" si="2"/>
        <v>8.3954244936509603</v>
      </c>
      <c r="J15" s="270"/>
      <c r="K15" s="397">
        <f>'12'!J15</f>
        <v>0</v>
      </c>
      <c r="L15" s="420">
        <f t="shared" si="3"/>
        <v>0</v>
      </c>
      <c r="M15" s="270"/>
      <c r="N15" s="270">
        <v>15</v>
      </c>
      <c r="O15" s="400">
        <f t="shared" si="4"/>
        <v>5.9760956175298805</v>
      </c>
      <c r="P15" s="237"/>
      <c r="Q15" s="237">
        <f>'11'!H15</f>
        <v>0</v>
      </c>
      <c r="R15" s="423">
        <f t="shared" si="5"/>
        <v>0</v>
      </c>
      <c r="S15" s="237"/>
      <c r="T15" s="237">
        <f t="shared" si="9"/>
        <v>718375</v>
      </c>
      <c r="U15" s="423">
        <f t="shared" si="6"/>
        <v>4.4467480908772634</v>
      </c>
      <c r="V15" s="304"/>
      <c r="W15" s="215">
        <v>437000</v>
      </c>
      <c r="X15" s="320"/>
      <c r="Y15" s="257"/>
      <c r="Z15" s="418">
        <v>327000</v>
      </c>
      <c r="AA15" s="419"/>
      <c r="AB15" s="215"/>
      <c r="AC15" s="397">
        <v>1400</v>
      </c>
      <c r="AD15" s="420"/>
      <c r="AE15" s="270"/>
      <c r="AF15" s="397">
        <v>700</v>
      </c>
      <c r="AG15" s="420"/>
      <c r="AH15" s="270"/>
      <c r="AI15" s="270">
        <v>10</v>
      </c>
      <c r="AK15" s="442">
        <f t="shared" si="7"/>
        <v>766110</v>
      </c>
    </row>
    <row r="16" spans="1:37" s="16" customFormat="1" ht="24.75" customHeight="1">
      <c r="A16" s="238" t="s">
        <v>66</v>
      </c>
      <c r="B16" s="215">
        <f>'9'!G16</f>
        <v>534000</v>
      </c>
      <c r="C16" s="320">
        <f t="shared" si="0"/>
        <v>5.1500546542316954</v>
      </c>
      <c r="D16" s="257"/>
      <c r="E16" s="237">
        <f>'10'!G16</f>
        <v>100000</v>
      </c>
      <c r="F16" s="420">
        <f t="shared" si="1"/>
        <v>1.7871532632256937</v>
      </c>
      <c r="G16" s="215"/>
      <c r="H16" s="397">
        <f>'11'!G16</f>
        <v>100</v>
      </c>
      <c r="I16" s="420">
        <f t="shared" si="2"/>
        <v>0.52471403085318502</v>
      </c>
      <c r="J16" s="270"/>
      <c r="K16" s="397">
        <f>'12'!J16</f>
        <v>0</v>
      </c>
      <c r="L16" s="420">
        <f t="shared" si="3"/>
        <v>0</v>
      </c>
      <c r="M16" s="270"/>
      <c r="N16" s="270">
        <f>'13'!G16</f>
        <v>200</v>
      </c>
      <c r="O16" s="400">
        <f t="shared" si="4"/>
        <v>79.681274900398407</v>
      </c>
      <c r="P16" s="237"/>
      <c r="Q16" s="237">
        <f>'11'!H16</f>
        <v>0</v>
      </c>
      <c r="R16" s="423">
        <f t="shared" si="5"/>
        <v>0</v>
      </c>
      <c r="S16" s="237"/>
      <c r="T16" s="237">
        <f t="shared" si="9"/>
        <v>634300</v>
      </c>
      <c r="U16" s="423">
        <f t="shared" si="6"/>
        <v>3.9263230402553653</v>
      </c>
      <c r="V16" s="304"/>
      <c r="W16" s="215">
        <v>298000</v>
      </c>
      <c r="X16" s="320"/>
      <c r="Y16" s="257"/>
      <c r="Z16" s="418">
        <v>141089</v>
      </c>
      <c r="AA16" s="419"/>
      <c r="AB16" s="215"/>
      <c r="AC16" s="397">
        <v>120</v>
      </c>
      <c r="AD16" s="420"/>
      <c r="AE16" s="270"/>
      <c r="AF16" s="397">
        <v>100</v>
      </c>
      <c r="AG16" s="420"/>
      <c r="AH16" s="270"/>
      <c r="AI16" s="270">
        <v>500</v>
      </c>
      <c r="AK16" s="442">
        <f t="shared" si="7"/>
        <v>439809</v>
      </c>
    </row>
    <row r="17" spans="1:37" s="16" customFormat="1" ht="24.75" customHeight="1">
      <c r="A17" s="238" t="s">
        <v>67</v>
      </c>
      <c r="B17" s="215">
        <f>'9'!G17</f>
        <v>127000</v>
      </c>
      <c r="C17" s="320">
        <f t="shared" si="0"/>
        <v>1.2248257323734557</v>
      </c>
      <c r="D17" s="257"/>
      <c r="E17" s="237">
        <f>'10'!G17</f>
        <v>89936</v>
      </c>
      <c r="F17" s="420">
        <f t="shared" si="1"/>
        <v>1.6072941588146599</v>
      </c>
      <c r="G17" s="215"/>
      <c r="H17" s="397">
        <f>'11'!G17</f>
        <v>840</v>
      </c>
      <c r="I17" s="420">
        <f t="shared" si="2"/>
        <v>4.4075978591667546</v>
      </c>
      <c r="J17" s="270"/>
      <c r="K17" s="397">
        <f>'12'!J17</f>
        <v>0</v>
      </c>
      <c r="L17" s="420">
        <f t="shared" si="3"/>
        <v>0</v>
      </c>
      <c r="M17" s="270"/>
      <c r="N17" s="270">
        <f>'13'!G17</f>
        <v>0</v>
      </c>
      <c r="O17" s="400">
        <f t="shared" si="4"/>
        <v>0</v>
      </c>
      <c r="P17" s="237"/>
      <c r="Q17" s="237">
        <v>1000</v>
      </c>
      <c r="R17" s="423">
        <f t="shared" si="5"/>
        <v>4.6055358540966242</v>
      </c>
      <c r="S17" s="237"/>
      <c r="T17" s="237">
        <f t="shared" si="9"/>
        <v>216776</v>
      </c>
      <c r="U17" s="423">
        <f t="shared" si="6"/>
        <v>1.3418455042951238</v>
      </c>
      <c r="V17" s="304"/>
      <c r="W17" s="215">
        <v>144200</v>
      </c>
      <c r="X17" s="320"/>
      <c r="Y17" s="257"/>
      <c r="Z17" s="418">
        <v>93310</v>
      </c>
      <c r="AA17" s="419"/>
      <c r="AB17" s="215"/>
      <c r="AC17" s="397">
        <v>1430</v>
      </c>
      <c r="AD17" s="420"/>
      <c r="AE17" s="270"/>
      <c r="AF17" s="397">
        <v>1300</v>
      </c>
      <c r="AG17" s="420"/>
      <c r="AH17" s="270"/>
      <c r="AI17" s="270">
        <v>0</v>
      </c>
      <c r="AK17" s="442">
        <f t="shared" si="7"/>
        <v>240240</v>
      </c>
    </row>
    <row r="18" spans="1:37" s="16" customFormat="1" ht="24.75" customHeight="1">
      <c r="A18" s="238" t="s">
        <v>68</v>
      </c>
      <c r="B18" s="215">
        <f>'9'!G18</f>
        <v>259600</v>
      </c>
      <c r="C18" s="320">
        <f t="shared" si="0"/>
        <v>2.5036595285366072</v>
      </c>
      <c r="D18" s="257"/>
      <c r="E18" s="237">
        <v>315729</v>
      </c>
      <c r="F18" s="420">
        <f t="shared" si="1"/>
        <v>5.6425611264498503</v>
      </c>
      <c r="G18" s="215"/>
      <c r="H18" s="237">
        <f>'11'!G18</f>
        <v>1593</v>
      </c>
      <c r="I18" s="420">
        <f t="shared" si="2"/>
        <v>8.3586945114912368</v>
      </c>
      <c r="J18" s="270"/>
      <c r="K18" s="397">
        <v>0</v>
      </c>
      <c r="L18" s="420">
        <f t="shared" si="3"/>
        <v>0</v>
      </c>
      <c r="M18" s="270"/>
      <c r="N18" s="270">
        <v>0</v>
      </c>
      <c r="O18" s="400">
        <f t="shared" si="4"/>
        <v>0</v>
      </c>
      <c r="P18" s="237"/>
      <c r="Q18" s="237">
        <f>'11'!H18</f>
        <v>740</v>
      </c>
      <c r="R18" s="423">
        <f t="shared" si="5"/>
        <v>3.4080965320315015</v>
      </c>
      <c r="S18" s="237"/>
      <c r="T18" s="237">
        <f>B18+E18+H18-Q18</f>
        <v>576182</v>
      </c>
      <c r="U18" s="423">
        <f t="shared" si="6"/>
        <v>3.5665720668144676</v>
      </c>
      <c r="V18" s="304"/>
      <c r="W18" s="215">
        <v>282100</v>
      </c>
      <c r="X18" s="320"/>
      <c r="Y18" s="257"/>
      <c r="Z18" s="418">
        <v>337808</v>
      </c>
      <c r="AA18" s="419"/>
      <c r="AB18" s="215"/>
      <c r="AC18" s="397">
        <v>2022</v>
      </c>
      <c r="AD18" s="420"/>
      <c r="AE18" s="270"/>
      <c r="AF18" s="397">
        <v>0</v>
      </c>
      <c r="AG18" s="420"/>
      <c r="AH18" s="270"/>
      <c r="AI18" s="270">
        <v>108</v>
      </c>
      <c r="AK18" s="442">
        <f t="shared" si="7"/>
        <v>622038</v>
      </c>
    </row>
    <row r="19" spans="1:37" s="16" customFormat="1" ht="24.75" customHeight="1">
      <c r="A19" s="238" t="s">
        <v>69</v>
      </c>
      <c r="B19" s="215">
        <f>'9'!G19</f>
        <v>140000</v>
      </c>
      <c r="C19" s="320">
        <f t="shared" si="0"/>
        <v>1.3502015947423922</v>
      </c>
      <c r="D19" s="257"/>
      <c r="E19" s="237">
        <f>'10'!G19</f>
        <v>560604</v>
      </c>
      <c r="F19" s="420">
        <f t="shared" si="1"/>
        <v>10.018852679773769</v>
      </c>
      <c r="G19" s="215"/>
      <c r="H19" s="237">
        <f>'11'!G19</f>
        <v>3350</v>
      </c>
      <c r="I19" s="420">
        <f t="shared" si="2"/>
        <v>17.577920033581698</v>
      </c>
      <c r="J19" s="270"/>
      <c r="K19" s="397">
        <f>'12'!J19</f>
        <v>0</v>
      </c>
      <c r="L19" s="420">
        <f t="shared" si="3"/>
        <v>0</v>
      </c>
      <c r="M19" s="270"/>
      <c r="N19" s="270">
        <f>'13'!G19</f>
        <v>0</v>
      </c>
      <c r="O19" s="400">
        <f t="shared" si="4"/>
        <v>0</v>
      </c>
      <c r="P19" s="237"/>
      <c r="Q19" s="237">
        <f>'11'!H19</f>
        <v>4082</v>
      </c>
      <c r="R19" s="423">
        <f t="shared" si="5"/>
        <v>18.79979735642242</v>
      </c>
      <c r="S19" s="237"/>
      <c r="T19" s="237">
        <f t="shared" si="9"/>
        <v>699872</v>
      </c>
      <c r="U19" s="423">
        <f t="shared" si="6"/>
        <v>4.3322143446785475</v>
      </c>
      <c r="V19" s="304"/>
      <c r="W19" s="215">
        <v>117920</v>
      </c>
      <c r="X19" s="320"/>
      <c r="Y19" s="257"/>
      <c r="Z19" s="418">
        <v>312960</v>
      </c>
      <c r="AA19" s="419"/>
      <c r="AB19" s="215"/>
      <c r="AC19" s="397">
        <v>5900</v>
      </c>
      <c r="AD19" s="420"/>
      <c r="AE19" s="270"/>
      <c r="AF19" s="397">
        <v>0</v>
      </c>
      <c r="AG19" s="420"/>
      <c r="AH19" s="270"/>
      <c r="AI19" s="270">
        <v>0</v>
      </c>
      <c r="AK19" s="442">
        <f t="shared" si="7"/>
        <v>436780</v>
      </c>
    </row>
    <row r="20" spans="1:37" s="16" customFormat="1" ht="24.75" customHeight="1" thickBot="1">
      <c r="A20" s="238" t="s">
        <v>70</v>
      </c>
      <c r="B20" s="211">
        <f>'9'!G20</f>
        <v>323411</v>
      </c>
      <c r="C20" s="472">
        <f t="shared" si="0"/>
        <v>3.119071771123084</v>
      </c>
      <c r="D20" s="317"/>
      <c r="E20" s="471">
        <f>'10'!G20</f>
        <v>1570857</v>
      </c>
      <c r="F20" s="420">
        <f t="shared" si="1"/>
        <v>28.073622136109233</v>
      </c>
      <c r="G20" s="211"/>
      <c r="H20" s="471">
        <f>'11'!G20</f>
        <v>9029</v>
      </c>
      <c r="I20" s="420">
        <f t="shared" si="2"/>
        <v>47.376429845734073</v>
      </c>
      <c r="J20" s="304"/>
      <c r="K20" s="397">
        <v>0</v>
      </c>
      <c r="L20" s="420">
        <f t="shared" si="3"/>
        <v>0</v>
      </c>
      <c r="M20" s="304"/>
      <c r="N20" s="421">
        <v>0</v>
      </c>
      <c r="O20" s="478">
        <f t="shared" si="4"/>
        <v>0</v>
      </c>
      <c r="P20" s="471"/>
      <c r="Q20" s="471">
        <f>'11'!H20</f>
        <v>15800</v>
      </c>
      <c r="R20" s="643">
        <f t="shared" si="5"/>
        <v>72.767466494726662</v>
      </c>
      <c r="S20" s="471"/>
      <c r="T20" s="471">
        <f t="shared" si="9"/>
        <v>1887497</v>
      </c>
      <c r="U20" s="423">
        <f t="shared" si="6"/>
        <v>11.683624404087784</v>
      </c>
      <c r="V20" s="304"/>
      <c r="W20" s="215">
        <v>239437</v>
      </c>
      <c r="X20" s="472"/>
      <c r="Y20" s="317"/>
      <c r="Z20" s="418">
        <v>1302656</v>
      </c>
      <c r="AA20" s="419"/>
      <c r="AB20" s="211"/>
      <c r="AC20" s="397">
        <v>5267</v>
      </c>
      <c r="AD20" s="420"/>
      <c r="AE20" s="304"/>
      <c r="AF20" s="397">
        <v>0</v>
      </c>
      <c r="AG20" s="420"/>
      <c r="AH20" s="304"/>
      <c r="AI20" s="270">
        <v>0</v>
      </c>
      <c r="AK20" s="442">
        <f t="shared" si="7"/>
        <v>1547360</v>
      </c>
    </row>
    <row r="21" spans="1:37" ht="24.75" customHeight="1" thickTop="1" thickBot="1">
      <c r="A21" s="222" t="s">
        <v>280</v>
      </c>
      <c r="B21" s="225">
        <f>SUM(B5:B20)</f>
        <v>10368822</v>
      </c>
      <c r="C21" s="644">
        <f t="shared" si="0"/>
        <v>100</v>
      </c>
      <c r="D21" s="258"/>
      <c r="E21" s="225">
        <f>SUM(E5:E20)</f>
        <v>5595491</v>
      </c>
      <c r="F21" s="644">
        <f t="shared" si="1"/>
        <v>100</v>
      </c>
      <c r="G21" s="225"/>
      <c r="H21" s="225">
        <f>SUM(H5:H20)</f>
        <v>19058</v>
      </c>
      <c r="I21" s="644">
        <f t="shared" si="2"/>
        <v>100</v>
      </c>
      <c r="J21" s="225"/>
      <c r="K21" s="225">
        <f>SUM(K5:K20)</f>
        <v>193155</v>
      </c>
      <c r="L21" s="644">
        <f t="shared" si="3"/>
        <v>100</v>
      </c>
      <c r="M21" s="225"/>
      <c r="N21" s="225">
        <f>SUM(N5:N20)</f>
        <v>251</v>
      </c>
      <c r="O21" s="644">
        <f t="shared" si="4"/>
        <v>100</v>
      </c>
      <c r="P21" s="239"/>
      <c r="Q21" s="225">
        <f>SUM(Q5:Q20)</f>
        <v>21713</v>
      </c>
      <c r="R21" s="644">
        <f t="shared" si="5"/>
        <v>100</v>
      </c>
      <c r="S21" s="303"/>
      <c r="T21" s="225">
        <f>SUM(T5:T20)</f>
        <v>16155064</v>
      </c>
      <c r="U21" s="644">
        <f t="shared" si="6"/>
        <v>100</v>
      </c>
      <c r="V21" s="642"/>
    </row>
    <row r="22" spans="1:37" ht="39.75" customHeight="1" thickTop="1">
      <c r="A22" s="1155" t="s">
        <v>348</v>
      </c>
      <c r="B22" s="1155"/>
      <c r="C22" s="1155"/>
      <c r="D22" s="1155"/>
      <c r="E22" s="1155"/>
      <c r="F22" s="1155"/>
      <c r="G22" s="1155"/>
      <c r="H22" s="1155"/>
      <c r="I22" s="1155"/>
      <c r="J22" s="1155"/>
      <c r="K22" s="1155"/>
      <c r="L22" s="1155"/>
      <c r="M22" s="1155"/>
      <c r="N22" s="1155"/>
      <c r="O22" s="1155"/>
      <c r="P22" s="1155"/>
      <c r="Q22" s="1155"/>
      <c r="R22" s="1155"/>
      <c r="S22" s="1155"/>
      <c r="T22" s="1155"/>
      <c r="U22" s="1155"/>
    </row>
    <row r="23" spans="1:37" s="206" customFormat="1" ht="21.75" customHeight="1">
      <c r="A23" s="1135" t="s">
        <v>509</v>
      </c>
      <c r="B23" s="1135"/>
      <c r="C23" s="1135"/>
      <c r="D23" s="1135"/>
      <c r="E23" s="1135"/>
      <c r="F23" s="1135"/>
      <c r="G23" s="1135"/>
      <c r="H23" s="1135"/>
      <c r="I23" s="1135"/>
      <c r="J23" s="1135"/>
      <c r="K23" s="1135"/>
      <c r="L23" s="1135"/>
      <c r="M23" s="1135"/>
      <c r="N23" s="1135"/>
      <c r="O23" s="1135"/>
      <c r="P23" s="1135"/>
      <c r="Q23" s="1135"/>
      <c r="R23" s="208"/>
      <c r="V23" s="208"/>
    </row>
    <row r="24" spans="1:37" s="206" customFormat="1" ht="16.5" customHeight="1">
      <c r="A24" s="1138" t="s">
        <v>292</v>
      </c>
      <c r="B24" s="1138"/>
      <c r="C24" s="1138"/>
      <c r="D24" s="1138"/>
      <c r="E24" s="1138"/>
      <c r="F24" s="1138"/>
      <c r="G24" s="1138"/>
      <c r="H24" s="1138"/>
      <c r="I24" s="1138"/>
      <c r="J24" s="1138"/>
      <c r="K24" s="1138"/>
      <c r="L24" s="1138"/>
      <c r="M24" s="1138"/>
      <c r="N24" s="1138"/>
      <c r="O24" s="1138"/>
      <c r="P24" s="1138"/>
      <c r="Q24" s="1138"/>
      <c r="R24" s="208"/>
      <c r="V24" s="208"/>
    </row>
    <row r="25" spans="1:37" s="206" customFormat="1" ht="4.5" customHeight="1">
      <c r="A25" s="633"/>
      <c r="B25" s="633"/>
      <c r="C25" s="633"/>
      <c r="D25" s="633"/>
      <c r="E25" s="633"/>
      <c r="F25" s="633"/>
      <c r="G25" s="633"/>
      <c r="H25" s="633"/>
      <c r="I25" s="633"/>
      <c r="J25" s="633"/>
      <c r="K25" s="633"/>
      <c r="L25" s="633"/>
      <c r="M25" s="633"/>
      <c r="N25" s="633"/>
      <c r="O25" s="633"/>
      <c r="P25" s="633"/>
      <c r="Q25" s="633"/>
      <c r="R25" s="208"/>
      <c r="V25" s="208"/>
    </row>
    <row r="26" spans="1:37" ht="27" customHeight="1">
      <c r="A26" s="1146" t="s">
        <v>228</v>
      </c>
      <c r="B26" s="1146"/>
      <c r="C26" s="1146"/>
      <c r="D26" s="1146"/>
      <c r="E26" s="1146"/>
      <c r="F26" s="825"/>
      <c r="G26" s="825"/>
      <c r="H26" s="825"/>
      <c r="I26" s="825"/>
      <c r="J26" s="1146"/>
      <c r="K26" s="1146"/>
      <c r="L26" s="1146"/>
      <c r="M26" s="1146"/>
      <c r="N26" s="1146"/>
      <c r="O26" s="1146"/>
      <c r="P26" s="1146"/>
      <c r="Q26" s="825"/>
      <c r="R26" s="825"/>
      <c r="S26" s="825"/>
      <c r="T26" s="828"/>
      <c r="U26" s="830">
        <v>36</v>
      </c>
    </row>
  </sheetData>
  <mergeCells count="14">
    <mergeCell ref="J26:P26"/>
    <mergeCell ref="A26:E26"/>
    <mergeCell ref="A3:A4"/>
    <mergeCell ref="A1:T1"/>
    <mergeCell ref="B3:C3"/>
    <mergeCell ref="E3:F3"/>
    <mergeCell ref="H3:I3"/>
    <mergeCell ref="N3:O3"/>
    <mergeCell ref="T3:U3"/>
    <mergeCell ref="Q3:R3"/>
    <mergeCell ref="A22:U22"/>
    <mergeCell ref="A23:Q23"/>
    <mergeCell ref="A24:Q24"/>
    <mergeCell ref="K3:L3"/>
  </mergeCells>
  <printOptions horizontalCentered="1"/>
  <pageMargins left="0.11811023622047245" right="0.11811023622047245" top="0.55118110236220474" bottom="0.55118110236220474" header="0.31496062992125984" footer="0.31496062992125984"/>
  <pageSetup paperSize="9" scale="8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DP33"/>
  <sheetViews>
    <sheetView rightToLeft="1" view="pageBreakPreview" zoomScaleSheetLayoutView="100" workbookViewId="0">
      <pane ySplit="3" topLeftCell="A4" activePane="bottomLeft" state="frozen"/>
      <selection pane="bottomLeft" activeCell="A21" sqref="A21:G21"/>
    </sheetView>
  </sheetViews>
  <sheetFormatPr defaultColWidth="10.42578125" defaultRowHeight="14.25"/>
  <cols>
    <col min="1" max="1" width="12.42578125" style="206" customWidth="1"/>
    <col min="2" max="2" width="20" style="206" customWidth="1"/>
    <col min="3" max="3" width="19" style="206" customWidth="1"/>
    <col min="4" max="4" width="19.5703125" style="206" customWidth="1"/>
    <col min="5" max="5" width="21.7109375" style="206" customWidth="1"/>
    <col min="6" max="6" width="12.140625" style="206" customWidth="1"/>
    <col min="7" max="7" width="19.140625" style="206" customWidth="1"/>
    <col min="8" max="9" width="10.42578125" style="206"/>
    <col min="10" max="15" width="10.42578125" style="208"/>
    <col min="16" max="16" width="11.85546875" style="208" bestFit="1" customWidth="1"/>
    <col min="17" max="17" width="10.7109375" style="208" bestFit="1" customWidth="1"/>
    <col min="18" max="18" width="8.42578125" style="208" customWidth="1"/>
    <col min="19" max="19" width="12.140625" style="208" customWidth="1"/>
    <col min="20" max="120" width="10.42578125" style="208"/>
    <col min="121" max="16384" width="10.42578125" style="206"/>
  </cols>
  <sheetData>
    <row r="1" spans="1:120" ht="34.5" customHeight="1">
      <c r="A1" s="1157" t="s">
        <v>522</v>
      </c>
      <c r="B1" s="1157"/>
      <c r="C1" s="1157"/>
      <c r="D1" s="1157"/>
      <c r="E1" s="1157"/>
      <c r="F1" s="1157"/>
      <c r="G1" s="1157"/>
      <c r="H1" s="1158"/>
      <c r="I1" s="1158"/>
      <c r="J1" s="1158"/>
      <c r="K1" s="1158"/>
      <c r="L1" s="1158"/>
      <c r="M1" s="1158"/>
      <c r="N1" s="1158"/>
      <c r="O1" s="1158"/>
    </row>
    <row r="2" spans="1:120" ht="30" customHeight="1" thickBot="1">
      <c r="A2" s="241" t="s">
        <v>583</v>
      </c>
      <c r="B2" s="242"/>
      <c r="C2" s="242"/>
      <c r="D2" s="242"/>
      <c r="E2" s="242"/>
      <c r="F2" s="242"/>
      <c r="G2" s="234"/>
      <c r="H2" s="1159"/>
      <c r="I2" s="1159"/>
      <c r="J2" s="1159"/>
      <c r="K2" s="1159"/>
      <c r="L2" s="1159"/>
      <c r="M2" s="1159"/>
      <c r="N2" s="1159"/>
      <c r="O2" s="1159"/>
    </row>
    <row r="3" spans="1:120" ht="59.25" customHeight="1" thickTop="1">
      <c r="A3" s="382" t="s">
        <v>57</v>
      </c>
      <c r="B3" s="382" t="s">
        <v>443</v>
      </c>
      <c r="C3" s="382" t="s">
        <v>373</v>
      </c>
      <c r="D3" s="382" t="s">
        <v>235</v>
      </c>
      <c r="E3" s="382" t="s">
        <v>374</v>
      </c>
      <c r="F3" s="974" t="s">
        <v>375</v>
      </c>
      <c r="G3" s="382" t="s">
        <v>515</v>
      </c>
      <c r="H3" s="261"/>
      <c r="I3" s="260"/>
      <c r="J3" s="636"/>
      <c r="K3" s="1156"/>
      <c r="L3" s="1156"/>
      <c r="M3" s="1156"/>
      <c r="N3" s="636"/>
      <c r="O3" s="636"/>
    </row>
    <row r="4" spans="1:120" s="355" customFormat="1" ht="20.25" customHeight="1">
      <c r="A4" s="632" t="s">
        <v>58</v>
      </c>
      <c r="B4" s="585">
        <f>'15'!Q5</f>
        <v>2112946</v>
      </c>
      <c r="C4" s="585">
        <f>'16'!T5</f>
        <v>2002575</v>
      </c>
      <c r="D4" s="668">
        <v>15</v>
      </c>
      <c r="E4" s="585">
        <f t="shared" ref="E4:E14" si="0">C4*D4/100</f>
        <v>300386.25</v>
      </c>
      <c r="F4" s="585">
        <v>0</v>
      </c>
      <c r="G4" s="669">
        <f t="shared" ref="G4:G14" si="1">C4-E4-F4</f>
        <v>1702188.75</v>
      </c>
      <c r="H4" s="424"/>
      <c r="I4" s="636"/>
      <c r="J4" s="667"/>
      <c r="K4" s="636"/>
      <c r="L4" s="636"/>
      <c r="M4" s="427">
        <f>H4-J4-K4</f>
        <v>0</v>
      </c>
      <c r="N4" s="636"/>
      <c r="O4" s="636"/>
    </row>
    <row r="5" spans="1:120" s="249" customFormat="1" ht="20.25" customHeight="1">
      <c r="A5" s="455" t="s">
        <v>59</v>
      </c>
      <c r="B5" s="354">
        <f>'15'!Q6</f>
        <v>698182</v>
      </c>
      <c r="C5" s="354">
        <f>'16'!T6</f>
        <v>664935</v>
      </c>
      <c r="D5" s="582">
        <v>11</v>
      </c>
      <c r="E5" s="354">
        <f t="shared" si="0"/>
        <v>73142.850000000006</v>
      </c>
      <c r="F5" s="354">
        <v>304</v>
      </c>
      <c r="G5" s="448">
        <f t="shared" si="1"/>
        <v>591488.15</v>
      </c>
      <c r="H5" s="461"/>
      <c r="I5" s="462"/>
      <c r="J5" s="667"/>
      <c r="K5" s="355"/>
      <c r="L5" s="355"/>
      <c r="M5" s="355"/>
      <c r="N5" s="355"/>
      <c r="O5" s="355"/>
      <c r="P5" s="355"/>
      <c r="Q5" s="355"/>
      <c r="R5" s="355"/>
      <c r="S5" s="355"/>
      <c r="T5" s="355"/>
      <c r="U5" s="355"/>
      <c r="V5" s="355"/>
      <c r="W5" s="355"/>
      <c r="X5" s="355"/>
      <c r="Y5" s="355"/>
      <c r="Z5" s="355"/>
      <c r="AA5" s="355"/>
      <c r="AB5" s="355"/>
      <c r="AC5" s="355"/>
      <c r="AD5" s="355"/>
      <c r="AE5" s="355"/>
      <c r="AF5" s="355"/>
      <c r="AG5" s="355"/>
      <c r="AH5" s="355"/>
      <c r="AI5" s="355"/>
      <c r="AJ5" s="355"/>
      <c r="AK5" s="355"/>
      <c r="AL5" s="355"/>
      <c r="AM5" s="355"/>
      <c r="AN5" s="355"/>
      <c r="AO5" s="355"/>
      <c r="AP5" s="355"/>
      <c r="AQ5" s="355"/>
      <c r="AR5" s="355"/>
      <c r="AS5" s="355"/>
      <c r="AT5" s="355"/>
      <c r="AU5" s="355"/>
      <c r="AV5" s="355"/>
      <c r="AW5" s="355"/>
      <c r="AX5" s="355"/>
      <c r="AY5" s="355"/>
      <c r="AZ5" s="355"/>
      <c r="BA5" s="355"/>
      <c r="BB5" s="355"/>
      <c r="BC5" s="355"/>
      <c r="BD5" s="355"/>
      <c r="BE5" s="355"/>
      <c r="BF5" s="355"/>
      <c r="BG5" s="355"/>
      <c r="BH5" s="355"/>
      <c r="BI5" s="355"/>
      <c r="BJ5" s="355"/>
      <c r="BK5" s="355"/>
      <c r="BL5" s="355"/>
      <c r="BM5" s="355"/>
      <c r="BN5" s="355"/>
      <c r="BO5" s="355"/>
      <c r="BP5" s="355"/>
      <c r="BQ5" s="355"/>
      <c r="BR5" s="355"/>
      <c r="BS5" s="355"/>
      <c r="BT5" s="355"/>
      <c r="BU5" s="355"/>
      <c r="BV5" s="355"/>
      <c r="BW5" s="355"/>
      <c r="BX5" s="355"/>
      <c r="BY5" s="355"/>
      <c r="BZ5" s="355"/>
      <c r="CA5" s="355"/>
      <c r="CB5" s="355"/>
      <c r="CC5" s="355"/>
      <c r="CD5" s="355"/>
      <c r="CE5" s="355"/>
      <c r="CF5" s="355"/>
      <c r="CG5" s="355"/>
      <c r="CH5" s="355"/>
      <c r="CI5" s="355"/>
      <c r="CJ5" s="355"/>
      <c r="CK5" s="355"/>
      <c r="CL5" s="355"/>
      <c r="CM5" s="355"/>
      <c r="CN5" s="355"/>
      <c r="CO5" s="355"/>
      <c r="CP5" s="355"/>
      <c r="CQ5" s="355"/>
      <c r="CR5" s="355"/>
      <c r="CS5" s="355"/>
      <c r="CT5" s="355"/>
      <c r="CU5" s="355"/>
      <c r="CV5" s="355"/>
      <c r="CW5" s="355"/>
      <c r="CX5" s="355"/>
      <c r="CY5" s="355"/>
      <c r="CZ5" s="355"/>
      <c r="DA5" s="355"/>
      <c r="DB5" s="355"/>
      <c r="DC5" s="355"/>
      <c r="DD5" s="355"/>
      <c r="DE5" s="355"/>
      <c r="DF5" s="355"/>
      <c r="DG5" s="355"/>
      <c r="DH5" s="355"/>
      <c r="DI5" s="355"/>
      <c r="DJ5" s="355"/>
      <c r="DK5" s="355"/>
      <c r="DL5" s="355"/>
      <c r="DM5" s="355"/>
      <c r="DN5" s="355"/>
      <c r="DO5" s="355"/>
      <c r="DP5" s="355"/>
    </row>
    <row r="6" spans="1:120" s="249" customFormat="1" ht="20.25" customHeight="1">
      <c r="A6" s="933" t="s">
        <v>60</v>
      </c>
      <c r="B6" s="354">
        <f>'15'!Q7</f>
        <v>612475</v>
      </c>
      <c r="C6" s="215">
        <f>'16'!T7</f>
        <v>556243</v>
      </c>
      <c r="D6" s="320">
        <v>5</v>
      </c>
      <c r="E6" s="354">
        <f t="shared" si="0"/>
        <v>27812.15</v>
      </c>
      <c r="F6" s="215">
        <v>32742</v>
      </c>
      <c r="G6" s="448">
        <f t="shared" si="1"/>
        <v>495688.85</v>
      </c>
      <c r="H6" s="425"/>
      <c r="I6" s="356"/>
      <c r="J6" s="667"/>
      <c r="K6" s="355"/>
      <c r="L6" s="355"/>
      <c r="M6" s="355"/>
      <c r="N6" s="355"/>
      <c r="O6" s="355"/>
      <c r="P6" s="355"/>
      <c r="Q6" s="355"/>
      <c r="R6" s="355"/>
      <c r="S6" s="355"/>
      <c r="T6" s="355"/>
      <c r="U6" s="355"/>
      <c r="V6" s="355"/>
      <c r="W6" s="355"/>
      <c r="X6" s="355"/>
      <c r="Y6" s="355"/>
      <c r="Z6" s="355"/>
      <c r="AA6" s="355"/>
      <c r="AB6" s="355"/>
      <c r="AC6" s="355"/>
      <c r="AD6" s="355"/>
      <c r="AE6" s="355"/>
      <c r="AF6" s="355"/>
      <c r="AG6" s="355"/>
      <c r="AH6" s="355"/>
      <c r="AI6" s="355"/>
      <c r="AJ6" s="355"/>
      <c r="AK6" s="355"/>
      <c r="AL6" s="355"/>
      <c r="AM6" s="355"/>
      <c r="AN6" s="355"/>
      <c r="AO6" s="355"/>
      <c r="AP6" s="355"/>
      <c r="AQ6" s="355"/>
      <c r="AR6" s="355"/>
      <c r="AS6" s="355"/>
      <c r="AT6" s="355"/>
      <c r="AU6" s="355"/>
      <c r="AV6" s="355"/>
      <c r="AW6" s="355"/>
      <c r="AX6" s="355"/>
      <c r="AY6" s="355"/>
      <c r="AZ6" s="355"/>
      <c r="BA6" s="355"/>
      <c r="BB6" s="355"/>
      <c r="BC6" s="355"/>
      <c r="BD6" s="355"/>
      <c r="BE6" s="355"/>
      <c r="BF6" s="355"/>
      <c r="BG6" s="355"/>
      <c r="BH6" s="355"/>
      <c r="BI6" s="355"/>
      <c r="BJ6" s="355"/>
      <c r="BK6" s="355"/>
      <c r="BL6" s="355"/>
      <c r="BM6" s="355"/>
      <c r="BN6" s="355"/>
      <c r="BO6" s="355"/>
      <c r="BP6" s="355"/>
      <c r="BQ6" s="355"/>
      <c r="BR6" s="355"/>
      <c r="BS6" s="355"/>
      <c r="BT6" s="355"/>
      <c r="BU6" s="355"/>
      <c r="BV6" s="355"/>
      <c r="BW6" s="355"/>
      <c r="BX6" s="355"/>
      <c r="BY6" s="355"/>
      <c r="BZ6" s="355"/>
      <c r="CA6" s="355"/>
      <c r="CB6" s="355"/>
      <c r="CC6" s="355"/>
      <c r="CD6" s="355"/>
      <c r="CE6" s="355"/>
      <c r="CF6" s="355"/>
      <c r="CG6" s="355"/>
      <c r="CH6" s="355"/>
      <c r="CI6" s="355"/>
      <c r="CJ6" s="355"/>
      <c r="CK6" s="355"/>
      <c r="CL6" s="355"/>
      <c r="CM6" s="355"/>
      <c r="CN6" s="355"/>
      <c r="CO6" s="355"/>
      <c r="CP6" s="355"/>
      <c r="CQ6" s="355"/>
      <c r="CR6" s="355"/>
      <c r="CS6" s="355"/>
      <c r="CT6" s="355"/>
      <c r="CU6" s="355"/>
      <c r="CV6" s="355"/>
      <c r="CW6" s="355"/>
      <c r="CX6" s="355"/>
      <c r="CY6" s="355"/>
      <c r="CZ6" s="355"/>
      <c r="DA6" s="355"/>
      <c r="DB6" s="355"/>
      <c r="DC6" s="355"/>
      <c r="DD6" s="355"/>
      <c r="DE6" s="355"/>
      <c r="DF6" s="355"/>
      <c r="DG6" s="355"/>
      <c r="DH6" s="355"/>
      <c r="DI6" s="355"/>
      <c r="DJ6" s="355"/>
      <c r="DK6" s="355"/>
      <c r="DL6" s="355"/>
      <c r="DM6" s="355"/>
      <c r="DN6" s="355"/>
      <c r="DO6" s="355"/>
      <c r="DP6" s="355"/>
    </row>
    <row r="7" spans="1:120" s="249" customFormat="1" ht="20.25" customHeight="1">
      <c r="A7" s="549" t="s">
        <v>296</v>
      </c>
      <c r="B7" s="354">
        <f>'15'!Q8</f>
        <v>744636</v>
      </c>
      <c r="C7" s="215">
        <f>'16'!T8</f>
        <v>709027</v>
      </c>
      <c r="D7" s="320">
        <v>25</v>
      </c>
      <c r="E7" s="354">
        <f t="shared" si="0"/>
        <v>177256.75</v>
      </c>
      <c r="F7" s="215">
        <v>0</v>
      </c>
      <c r="G7" s="448">
        <f t="shared" si="1"/>
        <v>531770.25</v>
      </c>
      <c r="H7" s="425"/>
      <c r="I7" s="356"/>
      <c r="J7" s="667"/>
      <c r="K7" s="355"/>
      <c r="L7" s="355"/>
      <c r="M7" s="355"/>
      <c r="N7" s="355"/>
      <c r="O7" s="355"/>
      <c r="P7" s="355"/>
      <c r="Q7" s="355"/>
      <c r="R7" s="355"/>
      <c r="S7" s="355"/>
      <c r="T7" s="355"/>
      <c r="U7" s="355"/>
      <c r="V7" s="355"/>
      <c r="W7" s="355"/>
      <c r="X7" s="355"/>
      <c r="Y7" s="355"/>
      <c r="Z7" s="355"/>
      <c r="AA7" s="355"/>
      <c r="AB7" s="355"/>
      <c r="AC7" s="355"/>
      <c r="AD7" s="355"/>
      <c r="AE7" s="355"/>
      <c r="AF7" s="355"/>
      <c r="AG7" s="355"/>
      <c r="AH7" s="355"/>
      <c r="AI7" s="355"/>
      <c r="AJ7" s="355"/>
      <c r="AK7" s="355"/>
      <c r="AL7" s="355"/>
      <c r="AM7" s="355"/>
      <c r="AN7" s="355"/>
      <c r="AO7" s="355"/>
      <c r="AP7" s="355"/>
      <c r="AQ7" s="355"/>
      <c r="AR7" s="355"/>
      <c r="AS7" s="355"/>
      <c r="AT7" s="355"/>
      <c r="AU7" s="355"/>
      <c r="AV7" s="355"/>
      <c r="AW7" s="355"/>
      <c r="AX7" s="355"/>
      <c r="AY7" s="355"/>
      <c r="AZ7" s="355"/>
      <c r="BA7" s="355"/>
      <c r="BB7" s="355"/>
      <c r="BC7" s="355"/>
      <c r="BD7" s="355"/>
      <c r="BE7" s="355"/>
      <c r="BF7" s="355"/>
      <c r="BG7" s="355"/>
      <c r="BH7" s="355"/>
      <c r="BI7" s="355"/>
      <c r="BJ7" s="355"/>
      <c r="BK7" s="355"/>
      <c r="BL7" s="355"/>
      <c r="BM7" s="355"/>
      <c r="BN7" s="355"/>
      <c r="BO7" s="355"/>
      <c r="BP7" s="355"/>
      <c r="BQ7" s="355"/>
      <c r="BR7" s="355"/>
      <c r="BS7" s="355"/>
      <c r="BT7" s="355"/>
      <c r="BU7" s="355"/>
      <c r="BV7" s="355"/>
      <c r="BW7" s="355"/>
      <c r="BX7" s="355"/>
      <c r="BY7" s="355"/>
      <c r="BZ7" s="355"/>
      <c r="CA7" s="355"/>
      <c r="CB7" s="355"/>
      <c r="CC7" s="355"/>
      <c r="CD7" s="355"/>
      <c r="CE7" s="355"/>
      <c r="CF7" s="355"/>
      <c r="CG7" s="355"/>
      <c r="CH7" s="355"/>
      <c r="CI7" s="355"/>
      <c r="CJ7" s="355"/>
      <c r="CK7" s="355"/>
      <c r="CL7" s="355"/>
      <c r="CM7" s="355"/>
      <c r="CN7" s="355"/>
      <c r="CO7" s="355"/>
      <c r="CP7" s="355"/>
      <c r="CQ7" s="355"/>
      <c r="CR7" s="355"/>
      <c r="CS7" s="355"/>
      <c r="CT7" s="355"/>
      <c r="CU7" s="355"/>
      <c r="CV7" s="355"/>
      <c r="CW7" s="355"/>
      <c r="CX7" s="355"/>
      <c r="CY7" s="355"/>
      <c r="CZ7" s="355"/>
      <c r="DA7" s="355"/>
      <c r="DB7" s="355"/>
      <c r="DC7" s="355"/>
      <c r="DD7" s="355"/>
      <c r="DE7" s="355"/>
      <c r="DF7" s="355"/>
      <c r="DG7" s="355"/>
      <c r="DH7" s="355"/>
      <c r="DI7" s="355"/>
      <c r="DJ7" s="355"/>
      <c r="DK7" s="355"/>
      <c r="DL7" s="355"/>
      <c r="DM7" s="355"/>
      <c r="DN7" s="355"/>
      <c r="DO7" s="355"/>
      <c r="DP7" s="355"/>
    </row>
    <row r="8" spans="1:120" s="249" customFormat="1" ht="20.25" customHeight="1">
      <c r="A8" s="895" t="s">
        <v>71</v>
      </c>
      <c r="B8" s="354">
        <f>'15'!Q9</f>
        <v>4250000</v>
      </c>
      <c r="C8" s="215">
        <f>'16'!T9</f>
        <v>4093000</v>
      </c>
      <c r="D8" s="320">
        <v>25</v>
      </c>
      <c r="E8" s="354">
        <f t="shared" si="0"/>
        <v>1023250</v>
      </c>
      <c r="F8" s="215">
        <v>1700</v>
      </c>
      <c r="G8" s="448">
        <f t="shared" si="1"/>
        <v>3068050</v>
      </c>
      <c r="H8" s="426"/>
      <c r="I8" s="355"/>
      <c r="J8" s="667"/>
      <c r="K8" s="355"/>
      <c r="L8" s="355"/>
      <c r="M8" s="355"/>
      <c r="N8" s="355"/>
      <c r="O8" s="355"/>
      <c r="P8" s="355"/>
      <c r="Q8" s="355"/>
      <c r="R8" s="355"/>
      <c r="S8" s="355"/>
      <c r="T8" s="355"/>
      <c r="U8" s="355"/>
      <c r="V8" s="355"/>
      <c r="W8" s="355"/>
      <c r="X8" s="355"/>
      <c r="Y8" s="355"/>
      <c r="Z8" s="355"/>
      <c r="AA8" s="355"/>
      <c r="AB8" s="355"/>
      <c r="AC8" s="355"/>
      <c r="AD8" s="355"/>
      <c r="AE8" s="355"/>
      <c r="AF8" s="355"/>
      <c r="AG8" s="355"/>
      <c r="AH8" s="355"/>
      <c r="AI8" s="355"/>
      <c r="AJ8" s="355"/>
      <c r="AK8" s="355"/>
      <c r="AL8" s="355"/>
      <c r="AM8" s="355"/>
      <c r="AN8" s="355"/>
      <c r="AO8" s="355"/>
      <c r="AP8" s="355"/>
      <c r="AQ8" s="355"/>
      <c r="AR8" s="355"/>
      <c r="AS8" s="355"/>
      <c r="AT8" s="355"/>
      <c r="AU8" s="355"/>
      <c r="AV8" s="355"/>
      <c r="AW8" s="355"/>
      <c r="AX8" s="355"/>
      <c r="AY8" s="355"/>
      <c r="AZ8" s="355"/>
      <c r="BA8" s="355"/>
      <c r="BB8" s="355"/>
      <c r="BC8" s="355"/>
      <c r="BD8" s="355"/>
      <c r="BE8" s="355"/>
      <c r="BF8" s="355"/>
      <c r="BG8" s="355"/>
      <c r="BH8" s="355"/>
      <c r="BI8" s="355"/>
      <c r="BJ8" s="355"/>
      <c r="BK8" s="355"/>
      <c r="BL8" s="355"/>
      <c r="BM8" s="355"/>
      <c r="BN8" s="355"/>
      <c r="BO8" s="355"/>
      <c r="BP8" s="355"/>
      <c r="BQ8" s="355"/>
      <c r="BR8" s="355"/>
      <c r="BS8" s="355"/>
      <c r="BT8" s="355"/>
      <c r="BU8" s="355"/>
      <c r="BV8" s="355"/>
      <c r="BW8" s="355"/>
      <c r="BX8" s="355"/>
      <c r="BY8" s="355"/>
      <c r="BZ8" s="355"/>
      <c r="CA8" s="355"/>
      <c r="CB8" s="355"/>
      <c r="CC8" s="355"/>
      <c r="CD8" s="355"/>
      <c r="CE8" s="355"/>
      <c r="CF8" s="355"/>
      <c r="CG8" s="355"/>
      <c r="CH8" s="355"/>
      <c r="CI8" s="355"/>
      <c r="CJ8" s="355"/>
      <c r="CK8" s="355"/>
      <c r="CL8" s="355"/>
      <c r="CM8" s="355"/>
      <c r="CN8" s="355"/>
      <c r="CO8" s="355"/>
      <c r="CP8" s="355"/>
      <c r="CQ8" s="355"/>
      <c r="CR8" s="355"/>
      <c r="CS8" s="355"/>
      <c r="CT8" s="355"/>
      <c r="CU8" s="355"/>
      <c r="CV8" s="355"/>
      <c r="CW8" s="355"/>
      <c r="CX8" s="355"/>
      <c r="CY8" s="355"/>
      <c r="CZ8" s="355"/>
      <c r="DA8" s="355"/>
      <c r="DB8" s="355"/>
      <c r="DC8" s="355"/>
      <c r="DD8" s="355"/>
      <c r="DE8" s="355"/>
      <c r="DF8" s="355"/>
      <c r="DG8" s="355"/>
      <c r="DH8" s="355"/>
      <c r="DI8" s="355"/>
      <c r="DJ8" s="355"/>
      <c r="DK8" s="355"/>
      <c r="DL8" s="355"/>
      <c r="DM8" s="355"/>
      <c r="DN8" s="355"/>
      <c r="DO8" s="355"/>
      <c r="DP8" s="355"/>
    </row>
    <row r="9" spans="1:120" s="249" customFormat="1" ht="20.25" customHeight="1">
      <c r="A9" s="899" t="s">
        <v>62</v>
      </c>
      <c r="B9" s="354">
        <f>'15'!Q10</f>
        <v>870869</v>
      </c>
      <c r="C9" s="215">
        <f>'16'!T10</f>
        <v>791699</v>
      </c>
      <c r="D9" s="320">
        <v>15</v>
      </c>
      <c r="E9" s="354">
        <f t="shared" si="0"/>
        <v>118754.85</v>
      </c>
      <c r="F9" s="215">
        <v>0</v>
      </c>
      <c r="G9" s="575">
        <f t="shared" si="1"/>
        <v>672944.15</v>
      </c>
      <c r="H9" s="426"/>
      <c r="I9" s="355"/>
      <c r="J9" s="667"/>
      <c r="K9" s="355"/>
      <c r="L9" s="355"/>
      <c r="M9" s="355"/>
      <c r="N9" s="355"/>
      <c r="O9" s="355"/>
      <c r="P9" s="355"/>
      <c r="Q9" s="355"/>
      <c r="R9" s="355"/>
      <c r="S9" s="355"/>
      <c r="T9" s="355"/>
      <c r="U9" s="355"/>
      <c r="V9" s="355"/>
      <c r="W9" s="355"/>
      <c r="X9" s="355"/>
      <c r="Y9" s="355"/>
      <c r="Z9" s="355"/>
      <c r="AA9" s="355"/>
      <c r="AB9" s="355"/>
      <c r="AC9" s="355"/>
      <c r="AD9" s="355"/>
      <c r="AE9" s="355"/>
      <c r="AF9" s="355"/>
      <c r="AG9" s="355"/>
      <c r="AH9" s="355"/>
      <c r="AI9" s="355"/>
      <c r="AJ9" s="355"/>
      <c r="AK9" s="355"/>
      <c r="AL9" s="355"/>
      <c r="AM9" s="355"/>
      <c r="AN9" s="355"/>
      <c r="AO9" s="355"/>
      <c r="AP9" s="355"/>
      <c r="AQ9" s="355"/>
      <c r="AR9" s="355"/>
      <c r="AS9" s="355"/>
      <c r="AT9" s="355"/>
      <c r="AU9" s="355"/>
      <c r="AV9" s="355"/>
      <c r="AW9" s="355"/>
      <c r="AX9" s="355"/>
      <c r="AY9" s="355"/>
      <c r="AZ9" s="355"/>
      <c r="BA9" s="355"/>
      <c r="BB9" s="355"/>
      <c r="BC9" s="355"/>
      <c r="BD9" s="355"/>
      <c r="BE9" s="355"/>
      <c r="BF9" s="355"/>
      <c r="BG9" s="355"/>
      <c r="BH9" s="355"/>
      <c r="BI9" s="355"/>
      <c r="BJ9" s="355"/>
      <c r="BK9" s="355"/>
      <c r="BL9" s="355"/>
      <c r="BM9" s="355"/>
      <c r="BN9" s="355"/>
      <c r="BO9" s="355"/>
      <c r="BP9" s="355"/>
      <c r="BQ9" s="355"/>
      <c r="BR9" s="355"/>
      <c r="BS9" s="355"/>
      <c r="BT9" s="355"/>
      <c r="BU9" s="355"/>
      <c r="BV9" s="355"/>
      <c r="BW9" s="355"/>
      <c r="BX9" s="355"/>
      <c r="BY9" s="355"/>
      <c r="BZ9" s="355"/>
      <c r="CA9" s="355"/>
      <c r="CB9" s="355"/>
      <c r="CC9" s="355"/>
      <c r="CD9" s="355"/>
      <c r="CE9" s="355"/>
      <c r="CF9" s="355"/>
      <c r="CG9" s="355"/>
      <c r="CH9" s="355"/>
      <c r="CI9" s="355"/>
      <c r="CJ9" s="355"/>
      <c r="CK9" s="355"/>
      <c r="CL9" s="355"/>
      <c r="CM9" s="355"/>
      <c r="CN9" s="355"/>
      <c r="CO9" s="355"/>
      <c r="CP9" s="355"/>
      <c r="CQ9" s="355"/>
      <c r="CR9" s="355"/>
      <c r="CS9" s="355"/>
      <c r="CT9" s="355"/>
      <c r="CU9" s="355"/>
      <c r="CV9" s="355"/>
      <c r="CW9" s="355"/>
      <c r="CX9" s="355"/>
      <c r="CY9" s="355"/>
      <c r="CZ9" s="355"/>
      <c r="DA9" s="355"/>
      <c r="DB9" s="355"/>
      <c r="DC9" s="355"/>
      <c r="DD9" s="355"/>
      <c r="DE9" s="355"/>
      <c r="DF9" s="355"/>
      <c r="DG9" s="355"/>
      <c r="DH9" s="355"/>
      <c r="DI9" s="355"/>
      <c r="DJ9" s="355"/>
      <c r="DK9" s="355"/>
      <c r="DL9" s="355"/>
      <c r="DM9" s="355"/>
      <c r="DN9" s="355"/>
      <c r="DO9" s="355"/>
      <c r="DP9" s="355"/>
    </row>
    <row r="10" spans="1:120" s="249" customFormat="1" ht="20.25" customHeight="1">
      <c r="A10" s="577" t="s">
        <v>64</v>
      </c>
      <c r="B10" s="354">
        <f>'15'!Q11</f>
        <v>862887</v>
      </c>
      <c r="C10" s="215">
        <f>'16'!T11</f>
        <v>784443</v>
      </c>
      <c r="D10" s="320">
        <v>15</v>
      </c>
      <c r="E10" s="354">
        <f t="shared" si="0"/>
        <v>117666.45</v>
      </c>
      <c r="F10" s="215">
        <v>0</v>
      </c>
      <c r="G10" s="448">
        <f t="shared" si="1"/>
        <v>666776.55000000005</v>
      </c>
      <c r="H10" s="426"/>
      <c r="I10" s="355"/>
      <c r="J10" s="667"/>
      <c r="K10" s="355"/>
      <c r="L10" s="355"/>
      <c r="M10" s="355"/>
      <c r="N10" s="355"/>
      <c r="O10" s="355"/>
      <c r="P10" s="355"/>
      <c r="Q10" s="355"/>
      <c r="R10" s="355"/>
      <c r="S10" s="355"/>
      <c r="T10" s="355"/>
      <c r="U10" s="355"/>
      <c r="V10" s="355"/>
      <c r="W10" s="355"/>
      <c r="X10" s="355"/>
      <c r="Y10" s="355"/>
      <c r="Z10" s="355"/>
      <c r="AA10" s="355"/>
      <c r="AB10" s="355"/>
      <c r="AC10" s="355"/>
      <c r="AD10" s="355"/>
      <c r="AE10" s="355"/>
      <c r="AF10" s="355"/>
      <c r="AG10" s="355"/>
      <c r="AH10" s="355"/>
      <c r="AI10" s="355"/>
      <c r="AJ10" s="355"/>
      <c r="AK10" s="355"/>
      <c r="AL10" s="355"/>
      <c r="AM10" s="355"/>
      <c r="AN10" s="355"/>
      <c r="AO10" s="355"/>
      <c r="AP10" s="355"/>
      <c r="AQ10" s="355"/>
      <c r="AR10" s="355"/>
      <c r="AS10" s="355"/>
      <c r="AT10" s="355"/>
      <c r="AU10" s="355"/>
      <c r="AV10" s="355"/>
      <c r="AW10" s="355"/>
      <c r="AX10" s="355"/>
      <c r="AY10" s="355"/>
      <c r="AZ10" s="355"/>
      <c r="BA10" s="355"/>
      <c r="BB10" s="355"/>
      <c r="BC10" s="355"/>
      <c r="BD10" s="355"/>
      <c r="BE10" s="355"/>
      <c r="BF10" s="355"/>
      <c r="BG10" s="355"/>
      <c r="BH10" s="355"/>
      <c r="BI10" s="355"/>
      <c r="BJ10" s="355"/>
      <c r="BK10" s="355"/>
      <c r="BL10" s="355"/>
      <c r="BM10" s="355"/>
      <c r="BN10" s="355"/>
      <c r="BO10" s="355"/>
      <c r="BP10" s="355"/>
      <c r="BQ10" s="355"/>
      <c r="BR10" s="355"/>
      <c r="BS10" s="355"/>
      <c r="BT10" s="355"/>
      <c r="BU10" s="355"/>
      <c r="BV10" s="355"/>
      <c r="BW10" s="355"/>
      <c r="BX10" s="355"/>
      <c r="BY10" s="355"/>
      <c r="BZ10" s="355"/>
      <c r="CA10" s="355"/>
      <c r="CB10" s="355"/>
      <c r="CC10" s="355"/>
      <c r="CD10" s="355"/>
      <c r="CE10" s="355"/>
      <c r="CF10" s="355"/>
      <c r="CG10" s="355"/>
      <c r="CH10" s="355"/>
      <c r="CI10" s="355"/>
      <c r="CJ10" s="355"/>
      <c r="CK10" s="355"/>
      <c r="CL10" s="355"/>
      <c r="CM10" s="355"/>
      <c r="CN10" s="355"/>
      <c r="CO10" s="355"/>
      <c r="CP10" s="355"/>
      <c r="CQ10" s="355"/>
      <c r="CR10" s="355"/>
      <c r="CS10" s="355"/>
      <c r="CT10" s="355"/>
      <c r="CU10" s="355"/>
      <c r="CV10" s="355"/>
      <c r="CW10" s="355"/>
      <c r="CX10" s="355"/>
      <c r="CY10" s="355"/>
      <c r="CZ10" s="355"/>
      <c r="DA10" s="355"/>
      <c r="DB10" s="355"/>
      <c r="DC10" s="355"/>
      <c r="DD10" s="355"/>
      <c r="DE10" s="355"/>
      <c r="DF10" s="355"/>
      <c r="DG10" s="355"/>
      <c r="DH10" s="355"/>
      <c r="DI10" s="355"/>
      <c r="DJ10" s="355"/>
      <c r="DK10" s="355"/>
      <c r="DL10" s="355"/>
      <c r="DM10" s="355"/>
      <c r="DN10" s="355"/>
      <c r="DO10" s="355"/>
      <c r="DP10" s="355"/>
    </row>
    <row r="11" spans="1:120" s="249" customFormat="1" ht="20.25" customHeight="1">
      <c r="A11" s="587" t="s">
        <v>56</v>
      </c>
      <c r="B11" s="354">
        <f>'15'!Q12</f>
        <v>647651</v>
      </c>
      <c r="C11" s="215">
        <f>'16'!T12</f>
        <v>588774</v>
      </c>
      <c r="D11" s="472">
        <v>25</v>
      </c>
      <c r="E11" s="354">
        <f t="shared" si="0"/>
        <v>147193.5</v>
      </c>
      <c r="F11" s="211">
        <v>0</v>
      </c>
      <c r="G11" s="575">
        <v>441580</v>
      </c>
      <c r="H11" s="426"/>
      <c r="I11" s="355"/>
      <c r="J11" s="667"/>
      <c r="K11" s="355"/>
      <c r="L11" s="355"/>
      <c r="M11" s="355"/>
      <c r="N11" s="355"/>
      <c r="O11" s="355"/>
      <c r="P11" s="355"/>
      <c r="Q11" s="355"/>
      <c r="R11" s="355"/>
      <c r="S11" s="355"/>
      <c r="T11" s="355"/>
      <c r="U11" s="355"/>
      <c r="V11" s="355"/>
      <c r="W11" s="355"/>
      <c r="X11" s="355"/>
      <c r="Y11" s="355"/>
      <c r="Z11" s="355"/>
      <c r="AA11" s="355"/>
      <c r="AB11" s="355"/>
      <c r="AC11" s="355"/>
      <c r="AD11" s="355"/>
      <c r="AE11" s="355"/>
      <c r="AF11" s="355"/>
      <c r="AG11" s="355"/>
      <c r="AH11" s="355"/>
      <c r="AI11" s="355"/>
      <c r="AJ11" s="355"/>
      <c r="AK11" s="355"/>
      <c r="AL11" s="355"/>
      <c r="AM11" s="355"/>
      <c r="AN11" s="355"/>
      <c r="AO11" s="355"/>
      <c r="AP11" s="355"/>
      <c r="AQ11" s="355"/>
      <c r="AR11" s="355"/>
      <c r="AS11" s="355"/>
      <c r="AT11" s="355"/>
      <c r="AU11" s="355"/>
      <c r="AV11" s="355"/>
      <c r="AW11" s="355"/>
      <c r="AX11" s="355"/>
      <c r="AY11" s="355"/>
      <c r="AZ11" s="355"/>
      <c r="BA11" s="355"/>
      <c r="BB11" s="355"/>
      <c r="BC11" s="355"/>
      <c r="BD11" s="355"/>
      <c r="BE11" s="355"/>
      <c r="BF11" s="355"/>
      <c r="BG11" s="355"/>
      <c r="BH11" s="355"/>
      <c r="BI11" s="355"/>
      <c r="BJ11" s="355"/>
      <c r="BK11" s="355"/>
      <c r="BL11" s="355"/>
      <c r="BM11" s="355"/>
      <c r="BN11" s="355"/>
      <c r="BO11" s="355"/>
      <c r="BP11" s="355"/>
      <c r="BQ11" s="355"/>
      <c r="BR11" s="355"/>
      <c r="BS11" s="355"/>
      <c r="BT11" s="355"/>
      <c r="BU11" s="355"/>
      <c r="BV11" s="355"/>
      <c r="BW11" s="355"/>
      <c r="BX11" s="355"/>
      <c r="BY11" s="355"/>
      <c r="BZ11" s="355"/>
      <c r="CA11" s="355"/>
      <c r="CB11" s="355"/>
      <c r="CC11" s="355"/>
      <c r="CD11" s="355"/>
      <c r="CE11" s="355"/>
      <c r="CF11" s="355"/>
      <c r="CG11" s="355"/>
      <c r="CH11" s="355"/>
      <c r="CI11" s="355"/>
      <c r="CJ11" s="355"/>
      <c r="CK11" s="355"/>
      <c r="CL11" s="355"/>
      <c r="CM11" s="355"/>
      <c r="CN11" s="355"/>
      <c r="CO11" s="355"/>
      <c r="CP11" s="355"/>
      <c r="CQ11" s="355"/>
      <c r="CR11" s="355"/>
      <c r="CS11" s="355"/>
      <c r="CT11" s="355"/>
      <c r="CU11" s="355"/>
      <c r="CV11" s="355"/>
      <c r="CW11" s="355"/>
      <c r="CX11" s="355"/>
      <c r="CY11" s="355"/>
      <c r="CZ11" s="355"/>
      <c r="DA11" s="355"/>
      <c r="DB11" s="355"/>
      <c r="DC11" s="355"/>
      <c r="DD11" s="355"/>
      <c r="DE11" s="355"/>
      <c r="DF11" s="355"/>
      <c r="DG11" s="355"/>
      <c r="DH11" s="355"/>
      <c r="DI11" s="355"/>
      <c r="DJ11" s="355"/>
      <c r="DK11" s="355"/>
      <c r="DL11" s="355"/>
      <c r="DM11" s="355"/>
      <c r="DN11" s="355"/>
      <c r="DO11" s="355"/>
      <c r="DP11" s="355"/>
    </row>
    <row r="12" spans="1:120" s="248" customFormat="1" ht="20.25" customHeight="1">
      <c r="A12" s="579" t="s">
        <v>63</v>
      </c>
      <c r="B12" s="354">
        <f>'15'!Q13</f>
        <v>588947</v>
      </c>
      <c r="C12" s="215">
        <f>'16'!T13</f>
        <v>560898</v>
      </c>
      <c r="D12" s="320">
        <v>20</v>
      </c>
      <c r="E12" s="354">
        <f t="shared" si="0"/>
        <v>112179.6</v>
      </c>
      <c r="F12" s="215">
        <v>128750</v>
      </c>
      <c r="G12" s="448">
        <f t="shared" si="1"/>
        <v>319968.40000000002</v>
      </c>
      <c r="H12" s="426"/>
      <c r="I12" s="355"/>
      <c r="J12" s="667"/>
      <c r="K12" s="355"/>
      <c r="L12" s="355"/>
      <c r="M12" s="355"/>
      <c r="N12" s="355"/>
      <c r="O12" s="355"/>
      <c r="P12" s="355"/>
      <c r="Q12" s="355"/>
      <c r="R12" s="355"/>
      <c r="S12" s="355"/>
      <c r="T12" s="355"/>
      <c r="U12" s="355"/>
      <c r="V12" s="355"/>
      <c r="W12" s="355"/>
      <c r="X12" s="355"/>
      <c r="Y12" s="355"/>
      <c r="Z12" s="355"/>
      <c r="AA12" s="355"/>
      <c r="AB12" s="355"/>
      <c r="AC12" s="355"/>
      <c r="AD12" s="355"/>
      <c r="AE12" s="355"/>
      <c r="AF12" s="355"/>
      <c r="AG12" s="355"/>
      <c r="AH12" s="355"/>
      <c r="AI12" s="355"/>
      <c r="AJ12" s="355"/>
      <c r="AK12" s="355"/>
      <c r="AL12" s="355"/>
      <c r="AM12" s="355"/>
      <c r="AN12" s="355"/>
      <c r="AO12" s="355"/>
      <c r="AP12" s="355"/>
      <c r="AQ12" s="355"/>
      <c r="AR12" s="355"/>
      <c r="AS12" s="355"/>
      <c r="AT12" s="355"/>
      <c r="AU12" s="355"/>
      <c r="AV12" s="355"/>
      <c r="AW12" s="355"/>
      <c r="AX12" s="355"/>
      <c r="AY12" s="355"/>
      <c r="AZ12" s="355"/>
      <c r="BA12" s="355"/>
      <c r="BB12" s="355"/>
      <c r="BC12" s="355"/>
      <c r="BD12" s="355"/>
      <c r="BE12" s="355"/>
      <c r="BF12" s="355"/>
      <c r="BG12" s="355"/>
      <c r="BH12" s="355"/>
      <c r="BI12" s="355"/>
      <c r="BJ12" s="355"/>
      <c r="BK12" s="355"/>
      <c r="BL12" s="355"/>
      <c r="BM12" s="355"/>
      <c r="BN12" s="355"/>
      <c r="BO12" s="355"/>
      <c r="BP12" s="355"/>
      <c r="BQ12" s="355"/>
      <c r="BR12" s="355"/>
      <c r="BS12" s="355"/>
      <c r="BT12" s="355"/>
      <c r="BU12" s="355"/>
      <c r="BV12" s="355"/>
      <c r="BW12" s="355"/>
      <c r="BX12" s="355"/>
      <c r="BY12" s="355"/>
      <c r="BZ12" s="355"/>
      <c r="CA12" s="355"/>
      <c r="CB12" s="355"/>
      <c r="CC12" s="355"/>
      <c r="CD12" s="355"/>
      <c r="CE12" s="355"/>
      <c r="CF12" s="355"/>
      <c r="CG12" s="355"/>
      <c r="CH12" s="355"/>
      <c r="CI12" s="355"/>
      <c r="CJ12" s="355"/>
      <c r="CK12" s="355"/>
      <c r="CL12" s="355"/>
      <c r="CM12" s="355"/>
      <c r="CN12" s="355"/>
      <c r="CO12" s="355"/>
      <c r="CP12" s="355"/>
      <c r="CQ12" s="355"/>
      <c r="CR12" s="355"/>
      <c r="CS12" s="355"/>
      <c r="CT12" s="355"/>
      <c r="CU12" s="355"/>
      <c r="CV12" s="355"/>
      <c r="CW12" s="355"/>
      <c r="CX12" s="355"/>
      <c r="CY12" s="355"/>
      <c r="CZ12" s="355"/>
      <c r="DA12" s="355"/>
      <c r="DB12" s="355"/>
      <c r="DC12" s="355"/>
      <c r="DD12" s="355"/>
      <c r="DE12" s="355"/>
      <c r="DF12" s="355"/>
      <c r="DG12" s="355"/>
      <c r="DH12" s="355"/>
      <c r="DI12" s="355"/>
      <c r="DJ12" s="355"/>
      <c r="DK12" s="355"/>
      <c r="DL12" s="355"/>
      <c r="DM12" s="355"/>
      <c r="DN12" s="355"/>
      <c r="DO12" s="355"/>
      <c r="DP12" s="355"/>
    </row>
    <row r="13" spans="1:120" s="248" customFormat="1" ht="20.25" customHeight="1">
      <c r="A13" s="574" t="s">
        <v>61</v>
      </c>
      <c r="B13" s="354">
        <f>'15'!Q14</f>
        <v>721913</v>
      </c>
      <c r="C13" s="215">
        <f>'16'!T14</f>
        <v>670468</v>
      </c>
      <c r="D13" s="320">
        <v>37</v>
      </c>
      <c r="E13" s="354">
        <f t="shared" si="0"/>
        <v>248073.16</v>
      </c>
      <c r="F13" s="215">
        <v>118530</v>
      </c>
      <c r="G13" s="448">
        <f t="shared" si="1"/>
        <v>303864.83999999997</v>
      </c>
      <c r="H13" s="426"/>
      <c r="I13" s="355"/>
      <c r="J13" s="667"/>
      <c r="K13" s="355"/>
      <c r="L13" s="355"/>
      <c r="M13" s="355"/>
      <c r="N13" s="355"/>
      <c r="O13" s="355"/>
      <c r="P13" s="355"/>
      <c r="Q13" s="355"/>
      <c r="R13" s="355"/>
      <c r="S13" s="355"/>
      <c r="T13" s="355"/>
      <c r="U13" s="355"/>
      <c r="V13" s="355"/>
      <c r="W13" s="355"/>
      <c r="X13" s="355"/>
      <c r="Y13" s="355"/>
      <c r="Z13" s="355"/>
      <c r="AA13" s="355"/>
      <c r="AB13" s="355"/>
      <c r="AC13" s="355"/>
      <c r="AD13" s="355"/>
      <c r="AE13" s="355"/>
      <c r="AF13" s="355"/>
      <c r="AG13" s="355"/>
      <c r="AH13" s="355"/>
      <c r="AI13" s="355"/>
      <c r="AJ13" s="355"/>
      <c r="AK13" s="355"/>
      <c r="AL13" s="355"/>
      <c r="AM13" s="355"/>
      <c r="AN13" s="355"/>
      <c r="AO13" s="355"/>
      <c r="AP13" s="355"/>
      <c r="AQ13" s="355"/>
      <c r="AR13" s="355"/>
      <c r="AS13" s="355"/>
      <c r="AT13" s="355"/>
      <c r="AU13" s="355"/>
      <c r="AV13" s="355"/>
      <c r="AW13" s="355"/>
      <c r="AX13" s="355"/>
      <c r="AY13" s="355"/>
      <c r="AZ13" s="355"/>
      <c r="BA13" s="355"/>
      <c r="BB13" s="355"/>
      <c r="BC13" s="355"/>
      <c r="BD13" s="355"/>
      <c r="BE13" s="355"/>
      <c r="BF13" s="355"/>
      <c r="BG13" s="355"/>
      <c r="BH13" s="355"/>
      <c r="BI13" s="355"/>
      <c r="BJ13" s="355"/>
      <c r="BK13" s="355"/>
      <c r="BL13" s="355"/>
      <c r="BM13" s="355"/>
      <c r="BN13" s="355"/>
      <c r="BO13" s="355"/>
      <c r="BP13" s="355"/>
      <c r="BQ13" s="355"/>
      <c r="BR13" s="355"/>
      <c r="BS13" s="355"/>
      <c r="BT13" s="355"/>
      <c r="BU13" s="355"/>
      <c r="BV13" s="355"/>
      <c r="BW13" s="355"/>
      <c r="BX13" s="355"/>
      <c r="BY13" s="355"/>
      <c r="BZ13" s="355"/>
      <c r="CA13" s="355"/>
      <c r="CB13" s="355"/>
      <c r="CC13" s="355"/>
      <c r="CD13" s="355"/>
      <c r="CE13" s="355"/>
      <c r="CF13" s="355"/>
      <c r="CG13" s="355"/>
      <c r="CH13" s="355"/>
      <c r="CI13" s="355"/>
      <c r="CJ13" s="355"/>
      <c r="CK13" s="355"/>
      <c r="CL13" s="355"/>
      <c r="CM13" s="355"/>
      <c r="CN13" s="355"/>
      <c r="CO13" s="355"/>
      <c r="CP13" s="355"/>
      <c r="CQ13" s="355"/>
      <c r="CR13" s="355"/>
      <c r="CS13" s="355"/>
      <c r="CT13" s="355"/>
      <c r="CU13" s="355"/>
      <c r="CV13" s="355"/>
      <c r="CW13" s="355"/>
      <c r="CX13" s="355"/>
      <c r="CY13" s="355"/>
      <c r="CZ13" s="355"/>
      <c r="DA13" s="355"/>
      <c r="DB13" s="355"/>
      <c r="DC13" s="355"/>
      <c r="DD13" s="355"/>
      <c r="DE13" s="355"/>
      <c r="DF13" s="355"/>
      <c r="DG13" s="355"/>
      <c r="DH13" s="355"/>
      <c r="DI13" s="355"/>
      <c r="DJ13" s="355"/>
      <c r="DK13" s="355"/>
      <c r="DL13" s="355"/>
      <c r="DM13" s="355"/>
      <c r="DN13" s="355"/>
      <c r="DO13" s="355"/>
      <c r="DP13" s="355"/>
    </row>
    <row r="14" spans="1:120" s="248" customFormat="1" ht="20.25" customHeight="1">
      <c r="A14" s="589" t="s">
        <v>65</v>
      </c>
      <c r="B14" s="354">
        <f>'15'!Q15</f>
        <v>754516</v>
      </c>
      <c r="C14" s="215">
        <f>'16'!T15</f>
        <v>718375</v>
      </c>
      <c r="D14" s="320">
        <v>20</v>
      </c>
      <c r="E14" s="354">
        <f t="shared" si="0"/>
        <v>143675</v>
      </c>
      <c r="F14" s="215">
        <v>2000</v>
      </c>
      <c r="G14" s="448">
        <f t="shared" si="1"/>
        <v>572700</v>
      </c>
      <c r="H14" s="426"/>
      <c r="I14" s="355"/>
      <c r="J14" s="667"/>
      <c r="K14" s="355"/>
      <c r="L14" s="355"/>
      <c r="M14" s="355"/>
      <c r="N14" s="355"/>
      <c r="O14" s="355"/>
      <c r="P14" s="355"/>
      <c r="Q14" s="355"/>
      <c r="R14" s="355"/>
      <c r="S14" s="355"/>
      <c r="T14" s="355"/>
      <c r="U14" s="355"/>
      <c r="V14" s="355"/>
      <c r="W14" s="355"/>
      <c r="X14" s="355"/>
      <c r="Y14" s="355"/>
      <c r="Z14" s="355"/>
      <c r="AA14" s="355"/>
      <c r="AB14" s="355"/>
      <c r="AC14" s="355"/>
      <c r="AD14" s="355"/>
      <c r="AE14" s="355"/>
      <c r="AF14" s="355"/>
      <c r="AG14" s="355"/>
      <c r="AH14" s="355"/>
      <c r="AI14" s="355"/>
      <c r="AJ14" s="355"/>
      <c r="AK14" s="355"/>
      <c r="AL14" s="355"/>
      <c r="AM14" s="355"/>
      <c r="AN14" s="355"/>
      <c r="AO14" s="355"/>
      <c r="AP14" s="355"/>
      <c r="AQ14" s="355"/>
      <c r="AR14" s="355"/>
      <c r="AS14" s="355"/>
      <c r="AT14" s="355"/>
      <c r="AU14" s="355"/>
      <c r="AV14" s="355"/>
      <c r="AW14" s="355"/>
      <c r="AX14" s="355"/>
      <c r="AY14" s="355"/>
      <c r="AZ14" s="355"/>
      <c r="BA14" s="355"/>
      <c r="BB14" s="355"/>
      <c r="BC14" s="355"/>
      <c r="BD14" s="355"/>
      <c r="BE14" s="355"/>
      <c r="BF14" s="355"/>
      <c r="BG14" s="355"/>
      <c r="BH14" s="355"/>
      <c r="BI14" s="355"/>
      <c r="BJ14" s="355"/>
      <c r="BK14" s="355"/>
      <c r="BL14" s="355"/>
      <c r="BM14" s="355"/>
      <c r="BN14" s="355"/>
      <c r="BO14" s="355"/>
      <c r="BP14" s="355"/>
      <c r="BQ14" s="355"/>
      <c r="BR14" s="355"/>
      <c r="BS14" s="355"/>
      <c r="BT14" s="355"/>
      <c r="BU14" s="355"/>
      <c r="BV14" s="355"/>
      <c r="BW14" s="355"/>
      <c r="BX14" s="355"/>
      <c r="BY14" s="355"/>
      <c r="BZ14" s="355"/>
      <c r="CA14" s="355"/>
      <c r="CB14" s="355"/>
      <c r="CC14" s="355"/>
      <c r="CD14" s="355"/>
      <c r="CE14" s="355"/>
      <c r="CF14" s="355"/>
      <c r="CG14" s="355"/>
      <c r="CH14" s="355"/>
      <c r="CI14" s="355"/>
      <c r="CJ14" s="355"/>
      <c r="CK14" s="355"/>
      <c r="CL14" s="355"/>
      <c r="CM14" s="355"/>
      <c r="CN14" s="355"/>
      <c r="CO14" s="355"/>
      <c r="CP14" s="355"/>
      <c r="CQ14" s="355"/>
      <c r="CR14" s="355"/>
      <c r="CS14" s="355"/>
      <c r="CT14" s="355"/>
      <c r="CU14" s="355"/>
      <c r="CV14" s="355"/>
      <c r="CW14" s="355"/>
      <c r="CX14" s="355"/>
      <c r="CY14" s="355"/>
      <c r="CZ14" s="355"/>
      <c r="DA14" s="355"/>
      <c r="DB14" s="355"/>
      <c r="DC14" s="355"/>
      <c r="DD14" s="355"/>
      <c r="DE14" s="355"/>
      <c r="DF14" s="355"/>
      <c r="DG14" s="355"/>
      <c r="DH14" s="355"/>
      <c r="DI14" s="355"/>
      <c r="DJ14" s="355"/>
      <c r="DK14" s="355"/>
      <c r="DL14" s="355"/>
      <c r="DM14" s="355"/>
      <c r="DN14" s="355"/>
      <c r="DO14" s="355"/>
      <c r="DP14" s="355"/>
    </row>
    <row r="15" spans="1:120" s="248" customFormat="1" ht="20.25" customHeight="1">
      <c r="A15" s="899" t="s">
        <v>66</v>
      </c>
      <c r="B15" s="354">
        <f>'15'!Q16</f>
        <v>780570</v>
      </c>
      <c r="C15" s="215">
        <f>'16'!T16</f>
        <v>634300</v>
      </c>
      <c r="D15" s="320">
        <v>30</v>
      </c>
      <c r="E15" s="354">
        <f>C15*D15/100</f>
        <v>190290</v>
      </c>
      <c r="F15" s="215">
        <v>45145</v>
      </c>
      <c r="G15" s="448">
        <f>C15-E15-F15</f>
        <v>398865</v>
      </c>
      <c r="H15" s="426"/>
      <c r="I15" s="355"/>
      <c r="J15" s="667"/>
      <c r="K15" s="355"/>
      <c r="L15" s="355"/>
      <c r="M15" s="355"/>
      <c r="N15" s="355"/>
      <c r="O15" s="355"/>
      <c r="P15" s="355"/>
      <c r="Q15" s="355"/>
      <c r="R15" s="355"/>
      <c r="S15" s="355"/>
      <c r="T15" s="355"/>
      <c r="U15" s="355"/>
      <c r="V15" s="355"/>
      <c r="W15" s="355"/>
      <c r="X15" s="355"/>
      <c r="Y15" s="355"/>
      <c r="Z15" s="355"/>
      <c r="AA15" s="355"/>
      <c r="AB15" s="355"/>
      <c r="AC15" s="355"/>
      <c r="AD15" s="355"/>
      <c r="AE15" s="355"/>
      <c r="AF15" s="355"/>
      <c r="AG15" s="355"/>
      <c r="AH15" s="355"/>
      <c r="AI15" s="355"/>
      <c r="AJ15" s="355"/>
      <c r="AK15" s="355"/>
      <c r="AL15" s="355"/>
      <c r="AM15" s="355"/>
      <c r="AN15" s="355"/>
      <c r="AO15" s="355"/>
      <c r="AP15" s="355"/>
      <c r="AQ15" s="355"/>
      <c r="AR15" s="355"/>
      <c r="AS15" s="355"/>
      <c r="AT15" s="355"/>
      <c r="AU15" s="355"/>
      <c r="AV15" s="355"/>
      <c r="AW15" s="355"/>
      <c r="AX15" s="355"/>
      <c r="AY15" s="355"/>
      <c r="AZ15" s="355"/>
      <c r="BA15" s="355"/>
      <c r="BB15" s="355"/>
      <c r="BC15" s="355"/>
      <c r="BD15" s="355"/>
      <c r="BE15" s="355"/>
      <c r="BF15" s="355"/>
      <c r="BG15" s="355"/>
      <c r="BH15" s="355"/>
      <c r="BI15" s="355"/>
      <c r="BJ15" s="355"/>
      <c r="BK15" s="355"/>
      <c r="BL15" s="355"/>
      <c r="BM15" s="355"/>
      <c r="BN15" s="355"/>
      <c r="BO15" s="355"/>
      <c r="BP15" s="355"/>
      <c r="BQ15" s="355"/>
      <c r="BR15" s="355"/>
      <c r="BS15" s="355"/>
      <c r="BT15" s="355"/>
      <c r="BU15" s="355"/>
      <c r="BV15" s="355"/>
      <c r="BW15" s="355"/>
      <c r="BX15" s="355"/>
      <c r="BY15" s="355"/>
      <c r="BZ15" s="355"/>
      <c r="CA15" s="355"/>
      <c r="CB15" s="355"/>
      <c r="CC15" s="355"/>
      <c r="CD15" s="355"/>
      <c r="CE15" s="355"/>
      <c r="CF15" s="355"/>
      <c r="CG15" s="355"/>
      <c r="CH15" s="355"/>
      <c r="CI15" s="355"/>
      <c r="CJ15" s="355"/>
      <c r="CK15" s="355"/>
      <c r="CL15" s="355"/>
      <c r="CM15" s="355"/>
      <c r="CN15" s="355"/>
      <c r="CO15" s="355"/>
      <c r="CP15" s="355"/>
      <c r="CQ15" s="355"/>
      <c r="CR15" s="355"/>
      <c r="CS15" s="355"/>
      <c r="CT15" s="355"/>
      <c r="CU15" s="355"/>
      <c r="CV15" s="355"/>
      <c r="CW15" s="355"/>
      <c r="CX15" s="355"/>
      <c r="CY15" s="355"/>
      <c r="CZ15" s="355"/>
      <c r="DA15" s="355"/>
      <c r="DB15" s="355"/>
      <c r="DC15" s="355"/>
      <c r="DD15" s="355"/>
      <c r="DE15" s="355"/>
      <c r="DF15" s="355"/>
      <c r="DG15" s="355"/>
      <c r="DH15" s="355"/>
      <c r="DI15" s="355"/>
      <c r="DJ15" s="355"/>
      <c r="DK15" s="355"/>
      <c r="DL15" s="355"/>
      <c r="DM15" s="355"/>
      <c r="DN15" s="355"/>
      <c r="DO15" s="355"/>
      <c r="DP15" s="355"/>
    </row>
    <row r="16" spans="1:120" s="248" customFormat="1" ht="20.25" customHeight="1">
      <c r="A16" s="548" t="s">
        <v>67</v>
      </c>
      <c r="B16" s="354">
        <f>'15'!Q17</f>
        <v>263427</v>
      </c>
      <c r="C16" s="215">
        <f>'16'!T17</f>
        <v>216776</v>
      </c>
      <c r="D16" s="320">
        <v>35</v>
      </c>
      <c r="E16" s="354">
        <f>C16*D16/100</f>
        <v>75871.600000000006</v>
      </c>
      <c r="F16" s="215">
        <v>0</v>
      </c>
      <c r="G16" s="448">
        <f>C16-E16-F16</f>
        <v>140904.4</v>
      </c>
      <c r="H16" s="426"/>
      <c r="I16" s="355"/>
      <c r="J16" s="667"/>
      <c r="K16" s="355"/>
      <c r="L16" s="355"/>
      <c r="M16" s="355"/>
      <c r="N16" s="355"/>
      <c r="O16" s="355"/>
      <c r="P16" s="355"/>
      <c r="Q16" s="355"/>
      <c r="R16" s="355"/>
      <c r="S16" s="355"/>
      <c r="T16" s="355"/>
      <c r="U16" s="355"/>
      <c r="V16" s="355"/>
      <c r="W16" s="355"/>
      <c r="X16" s="355"/>
      <c r="Y16" s="355"/>
      <c r="Z16" s="355"/>
      <c r="AA16" s="355"/>
      <c r="AB16" s="355"/>
      <c r="AC16" s="355"/>
      <c r="AD16" s="355"/>
      <c r="AE16" s="355"/>
      <c r="AF16" s="355"/>
      <c r="AG16" s="355"/>
      <c r="AH16" s="355"/>
      <c r="AI16" s="355"/>
      <c r="AJ16" s="355"/>
      <c r="AK16" s="355"/>
      <c r="AL16" s="355"/>
      <c r="AM16" s="355"/>
      <c r="AN16" s="355"/>
      <c r="AO16" s="355"/>
      <c r="AP16" s="355"/>
      <c r="AQ16" s="355"/>
      <c r="AR16" s="355"/>
      <c r="AS16" s="355"/>
      <c r="AT16" s="355"/>
      <c r="AU16" s="355"/>
      <c r="AV16" s="355"/>
      <c r="AW16" s="355"/>
      <c r="AX16" s="355"/>
      <c r="AY16" s="355"/>
      <c r="AZ16" s="355"/>
      <c r="BA16" s="355"/>
      <c r="BB16" s="355"/>
      <c r="BC16" s="355"/>
      <c r="BD16" s="355"/>
      <c r="BE16" s="355"/>
      <c r="BF16" s="355"/>
      <c r="BG16" s="355"/>
      <c r="BH16" s="355"/>
      <c r="BI16" s="355"/>
      <c r="BJ16" s="355"/>
      <c r="BK16" s="355"/>
      <c r="BL16" s="355"/>
      <c r="BM16" s="355"/>
      <c r="BN16" s="355"/>
      <c r="BO16" s="355"/>
      <c r="BP16" s="355"/>
      <c r="BQ16" s="355"/>
      <c r="BR16" s="355"/>
      <c r="BS16" s="355"/>
      <c r="BT16" s="355"/>
      <c r="BU16" s="355"/>
      <c r="BV16" s="355"/>
      <c r="BW16" s="355"/>
      <c r="BX16" s="355"/>
      <c r="BY16" s="355"/>
      <c r="BZ16" s="355"/>
      <c r="CA16" s="355"/>
      <c r="CB16" s="355"/>
      <c r="CC16" s="355"/>
      <c r="CD16" s="355"/>
      <c r="CE16" s="355"/>
      <c r="CF16" s="355"/>
      <c r="CG16" s="355"/>
      <c r="CH16" s="355"/>
      <c r="CI16" s="355"/>
      <c r="CJ16" s="355"/>
      <c r="CK16" s="355"/>
      <c r="CL16" s="355"/>
      <c r="CM16" s="355"/>
      <c r="CN16" s="355"/>
      <c r="CO16" s="355"/>
      <c r="CP16" s="355"/>
      <c r="CQ16" s="355"/>
      <c r="CR16" s="355"/>
      <c r="CS16" s="355"/>
      <c r="CT16" s="355"/>
      <c r="CU16" s="355"/>
      <c r="CV16" s="355"/>
      <c r="CW16" s="355"/>
      <c r="CX16" s="355"/>
      <c r="CY16" s="355"/>
      <c r="CZ16" s="355"/>
      <c r="DA16" s="355"/>
      <c r="DB16" s="355"/>
      <c r="DC16" s="355"/>
      <c r="DD16" s="355"/>
      <c r="DE16" s="355"/>
      <c r="DF16" s="355"/>
      <c r="DG16" s="355"/>
      <c r="DH16" s="355"/>
      <c r="DI16" s="355"/>
      <c r="DJ16" s="355"/>
      <c r="DK16" s="355"/>
      <c r="DL16" s="355"/>
      <c r="DM16" s="355"/>
      <c r="DN16" s="355"/>
      <c r="DO16" s="355"/>
      <c r="DP16" s="355"/>
    </row>
    <row r="17" spans="1:120" s="248" customFormat="1" ht="20.25" customHeight="1">
      <c r="A17" s="574" t="s">
        <v>68</v>
      </c>
      <c r="B17" s="354">
        <f>'15'!Q18</f>
        <v>605071</v>
      </c>
      <c r="C17" s="215">
        <f>'16'!T18</f>
        <v>576182</v>
      </c>
      <c r="D17" s="320">
        <v>30</v>
      </c>
      <c r="E17" s="215">
        <f>C17*D17/100</f>
        <v>172854.6</v>
      </c>
      <c r="F17" s="215">
        <v>1180</v>
      </c>
      <c r="G17" s="448">
        <f>C17-E17-F17</f>
        <v>402147.4</v>
      </c>
      <c r="H17" s="426"/>
      <c r="I17" s="355"/>
      <c r="J17" s="667"/>
      <c r="K17" s="355"/>
      <c r="L17" s="355"/>
      <c r="M17" s="355"/>
      <c r="N17" s="355"/>
      <c r="O17" s="355"/>
      <c r="P17" s="355"/>
      <c r="Q17" s="355"/>
      <c r="R17" s="355"/>
      <c r="S17" s="355"/>
      <c r="T17" s="355"/>
      <c r="U17" s="355"/>
      <c r="V17" s="355"/>
      <c r="W17" s="355"/>
      <c r="X17" s="355"/>
      <c r="Y17" s="355"/>
      <c r="Z17" s="355"/>
      <c r="AA17" s="355"/>
      <c r="AB17" s="355"/>
      <c r="AC17" s="355"/>
      <c r="AD17" s="355"/>
      <c r="AE17" s="355"/>
      <c r="AF17" s="355"/>
      <c r="AG17" s="355"/>
      <c r="AH17" s="355"/>
      <c r="AI17" s="355"/>
      <c r="AJ17" s="355"/>
      <c r="AK17" s="355"/>
      <c r="AL17" s="355"/>
      <c r="AM17" s="355"/>
      <c r="AN17" s="355"/>
      <c r="AO17" s="355"/>
      <c r="AP17" s="355"/>
      <c r="AQ17" s="355"/>
      <c r="AR17" s="355"/>
      <c r="AS17" s="355"/>
      <c r="AT17" s="355"/>
      <c r="AU17" s="355"/>
      <c r="AV17" s="355"/>
      <c r="AW17" s="355"/>
      <c r="AX17" s="355"/>
      <c r="AY17" s="355"/>
      <c r="AZ17" s="355"/>
      <c r="BA17" s="355"/>
      <c r="BB17" s="355"/>
      <c r="BC17" s="355"/>
      <c r="BD17" s="355"/>
      <c r="BE17" s="355"/>
      <c r="BF17" s="355"/>
      <c r="BG17" s="355"/>
      <c r="BH17" s="355"/>
      <c r="BI17" s="355"/>
      <c r="BJ17" s="355"/>
      <c r="BK17" s="355"/>
      <c r="BL17" s="355"/>
      <c r="BM17" s="355"/>
      <c r="BN17" s="355"/>
      <c r="BO17" s="355"/>
      <c r="BP17" s="355"/>
      <c r="BQ17" s="355"/>
      <c r="BR17" s="355"/>
      <c r="BS17" s="355"/>
      <c r="BT17" s="355"/>
      <c r="BU17" s="355"/>
      <c r="BV17" s="355"/>
      <c r="BW17" s="355"/>
      <c r="BX17" s="355"/>
      <c r="BY17" s="355"/>
      <c r="BZ17" s="355"/>
      <c r="CA17" s="355"/>
      <c r="CB17" s="355"/>
      <c r="CC17" s="355"/>
      <c r="CD17" s="355"/>
      <c r="CE17" s="355"/>
      <c r="CF17" s="355"/>
      <c r="CG17" s="355"/>
      <c r="CH17" s="355"/>
      <c r="CI17" s="355"/>
      <c r="CJ17" s="355"/>
      <c r="CK17" s="355"/>
      <c r="CL17" s="355"/>
      <c r="CM17" s="355"/>
      <c r="CN17" s="355"/>
      <c r="CO17" s="355"/>
      <c r="CP17" s="355"/>
      <c r="CQ17" s="355"/>
      <c r="CR17" s="355"/>
      <c r="CS17" s="355"/>
      <c r="CT17" s="355"/>
      <c r="CU17" s="355"/>
      <c r="CV17" s="355"/>
      <c r="CW17" s="355"/>
      <c r="CX17" s="355"/>
      <c r="CY17" s="355"/>
      <c r="CZ17" s="355"/>
      <c r="DA17" s="355"/>
      <c r="DB17" s="355"/>
      <c r="DC17" s="355"/>
      <c r="DD17" s="355"/>
      <c r="DE17" s="355"/>
      <c r="DF17" s="355"/>
      <c r="DG17" s="355"/>
      <c r="DH17" s="355"/>
      <c r="DI17" s="355"/>
      <c r="DJ17" s="355"/>
      <c r="DK17" s="355"/>
      <c r="DL17" s="355"/>
      <c r="DM17" s="355"/>
      <c r="DN17" s="355"/>
      <c r="DO17" s="355"/>
      <c r="DP17" s="355"/>
    </row>
    <row r="18" spans="1:120" s="248" customFormat="1" ht="20.25" customHeight="1">
      <c r="A18" s="578" t="s">
        <v>69</v>
      </c>
      <c r="B18" s="354">
        <f>'15'!Q19</f>
        <v>781905</v>
      </c>
      <c r="C18" s="215">
        <f>'16'!T19</f>
        <v>699872</v>
      </c>
      <c r="D18" s="320">
        <v>5</v>
      </c>
      <c r="E18" s="354">
        <f>C18*D18/100</f>
        <v>34993.599999999999</v>
      </c>
      <c r="F18" s="215">
        <v>130</v>
      </c>
      <c r="G18" s="448">
        <f>C18-E18-F18</f>
        <v>664748.4</v>
      </c>
      <c r="H18" s="426"/>
      <c r="I18" s="426"/>
      <c r="J18" s="667"/>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c r="AM18" s="355"/>
      <c r="AN18" s="355"/>
      <c r="AO18" s="355"/>
      <c r="AP18" s="355"/>
      <c r="AQ18" s="355"/>
      <c r="AR18" s="355"/>
      <c r="AS18" s="355"/>
      <c r="AT18" s="355"/>
      <c r="AU18" s="355"/>
      <c r="AV18" s="355"/>
      <c r="AW18" s="355"/>
      <c r="AX18" s="355"/>
      <c r="AY18" s="355"/>
      <c r="AZ18" s="355"/>
      <c r="BA18" s="355"/>
      <c r="BB18" s="355"/>
      <c r="BC18" s="355"/>
      <c r="BD18" s="355"/>
      <c r="BE18" s="355"/>
      <c r="BF18" s="355"/>
      <c r="BG18" s="355"/>
      <c r="BH18" s="355"/>
      <c r="BI18" s="355"/>
      <c r="BJ18" s="355"/>
      <c r="BK18" s="355"/>
      <c r="BL18" s="355"/>
      <c r="BM18" s="355"/>
      <c r="BN18" s="355"/>
      <c r="BO18" s="355"/>
      <c r="BP18" s="355"/>
      <c r="BQ18" s="355"/>
      <c r="BR18" s="355"/>
      <c r="BS18" s="355"/>
      <c r="BT18" s="355"/>
      <c r="BU18" s="355"/>
      <c r="BV18" s="355"/>
      <c r="BW18" s="355"/>
      <c r="BX18" s="355"/>
      <c r="BY18" s="355"/>
      <c r="BZ18" s="355"/>
      <c r="CA18" s="355"/>
      <c r="CB18" s="355"/>
      <c r="CC18" s="355"/>
      <c r="CD18" s="355"/>
      <c r="CE18" s="355"/>
      <c r="CF18" s="355"/>
      <c r="CG18" s="355"/>
      <c r="CH18" s="355"/>
      <c r="CI18" s="355"/>
      <c r="CJ18" s="355"/>
      <c r="CK18" s="355"/>
      <c r="CL18" s="355"/>
      <c r="CM18" s="355"/>
      <c r="CN18" s="355"/>
      <c r="CO18" s="355"/>
      <c r="CP18" s="355"/>
      <c r="CQ18" s="355"/>
      <c r="CR18" s="355"/>
      <c r="CS18" s="355"/>
      <c r="CT18" s="355"/>
      <c r="CU18" s="355"/>
      <c r="CV18" s="355"/>
      <c r="CW18" s="355"/>
      <c r="CX18" s="355"/>
      <c r="CY18" s="355"/>
      <c r="CZ18" s="355"/>
      <c r="DA18" s="355"/>
      <c r="DB18" s="355"/>
      <c r="DC18" s="355"/>
      <c r="DD18" s="355"/>
      <c r="DE18" s="355"/>
      <c r="DF18" s="355"/>
      <c r="DG18" s="355"/>
      <c r="DH18" s="355"/>
      <c r="DI18" s="355"/>
      <c r="DJ18" s="355"/>
      <c r="DK18" s="355"/>
      <c r="DL18" s="355"/>
      <c r="DM18" s="355"/>
      <c r="DN18" s="355"/>
      <c r="DO18" s="355"/>
      <c r="DP18" s="355"/>
    </row>
    <row r="19" spans="1:120" s="248" customFormat="1" ht="20.25" customHeight="1" thickBot="1">
      <c r="A19" s="216" t="s">
        <v>70</v>
      </c>
      <c r="B19" s="354">
        <f>'15'!Q20</f>
        <v>2016871</v>
      </c>
      <c r="C19" s="211">
        <f>'16'!T20</f>
        <v>1887497</v>
      </c>
      <c r="D19" s="472">
        <v>26</v>
      </c>
      <c r="E19" s="354">
        <f>C19*D19/100</f>
        <v>490749.22</v>
      </c>
      <c r="F19" s="211">
        <v>0</v>
      </c>
      <c r="G19" s="448">
        <f>C19-E19-F19</f>
        <v>1396747.78</v>
      </c>
      <c r="H19" s="426"/>
      <c r="I19" s="426"/>
      <c r="J19" s="667"/>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c r="AM19" s="355"/>
      <c r="AN19" s="355"/>
      <c r="AO19" s="355"/>
      <c r="AP19" s="355"/>
      <c r="AQ19" s="355"/>
      <c r="AR19" s="355"/>
      <c r="AS19" s="355"/>
      <c r="AT19" s="355"/>
      <c r="AU19" s="355"/>
      <c r="AV19" s="355"/>
      <c r="AW19" s="355"/>
      <c r="AX19" s="355"/>
      <c r="AY19" s="355"/>
      <c r="AZ19" s="355"/>
      <c r="BA19" s="355"/>
      <c r="BB19" s="355"/>
      <c r="BC19" s="355"/>
      <c r="BD19" s="355"/>
      <c r="BE19" s="355"/>
      <c r="BF19" s="355"/>
      <c r="BG19" s="355"/>
      <c r="BH19" s="355"/>
      <c r="BI19" s="355"/>
      <c r="BJ19" s="355"/>
      <c r="BK19" s="355"/>
      <c r="BL19" s="355"/>
      <c r="BM19" s="355"/>
      <c r="BN19" s="355"/>
      <c r="BO19" s="355"/>
      <c r="BP19" s="355"/>
      <c r="BQ19" s="355"/>
      <c r="BR19" s="355"/>
      <c r="BS19" s="355"/>
      <c r="BT19" s="355"/>
      <c r="BU19" s="355"/>
      <c r="BV19" s="355"/>
      <c r="BW19" s="355"/>
      <c r="BX19" s="355"/>
      <c r="BY19" s="355"/>
      <c r="BZ19" s="355"/>
      <c r="CA19" s="355"/>
      <c r="CB19" s="355"/>
      <c r="CC19" s="355"/>
      <c r="CD19" s="355"/>
      <c r="CE19" s="355"/>
      <c r="CF19" s="355"/>
      <c r="CG19" s="355"/>
      <c r="CH19" s="355"/>
      <c r="CI19" s="355"/>
      <c r="CJ19" s="355"/>
      <c r="CK19" s="355"/>
      <c r="CL19" s="355"/>
      <c r="CM19" s="355"/>
      <c r="CN19" s="355"/>
      <c r="CO19" s="355"/>
      <c r="CP19" s="355"/>
      <c r="CQ19" s="355"/>
      <c r="CR19" s="355"/>
      <c r="CS19" s="355"/>
      <c r="CT19" s="355"/>
      <c r="CU19" s="355"/>
      <c r="CV19" s="355"/>
      <c r="CW19" s="355"/>
      <c r="CX19" s="355"/>
      <c r="CY19" s="355"/>
      <c r="CZ19" s="355"/>
      <c r="DA19" s="355"/>
      <c r="DB19" s="355"/>
      <c r="DC19" s="355"/>
      <c r="DD19" s="355"/>
      <c r="DE19" s="355"/>
      <c r="DF19" s="355"/>
      <c r="DG19" s="355"/>
      <c r="DH19" s="355"/>
      <c r="DI19" s="355"/>
      <c r="DJ19" s="355"/>
      <c r="DK19" s="355"/>
      <c r="DL19" s="355"/>
      <c r="DM19" s="355"/>
      <c r="DN19" s="355"/>
      <c r="DO19" s="355"/>
      <c r="DP19" s="355"/>
    </row>
    <row r="20" spans="1:120" ht="21.75" customHeight="1" thickTop="1" thickBot="1">
      <c r="A20" s="222" t="s">
        <v>280</v>
      </c>
      <c r="B20" s="225">
        <f>SUM(B4:B19)</f>
        <v>17312866</v>
      </c>
      <c r="C20" s="225">
        <f>SUM(C4:C19)</f>
        <v>16155064</v>
      </c>
      <c r="D20" s="303">
        <f>E20/C20*100</f>
        <v>21.381227582880513</v>
      </c>
      <c r="E20" s="225">
        <v>3454151</v>
      </c>
      <c r="F20" s="225">
        <f>SUM(F4:F19)</f>
        <v>330481</v>
      </c>
      <c r="G20" s="225">
        <v>12370432</v>
      </c>
      <c r="H20" s="302"/>
      <c r="I20" s="302"/>
      <c r="K20" s="302"/>
    </row>
    <row r="21" spans="1:120" ht="18" customHeight="1" thickTop="1">
      <c r="A21" s="1155" t="s">
        <v>317</v>
      </c>
      <c r="B21" s="1155"/>
      <c r="C21" s="1155"/>
      <c r="D21" s="1155"/>
      <c r="E21" s="1155"/>
      <c r="F21" s="1155"/>
      <c r="G21" s="1155"/>
      <c r="H21" s="208"/>
      <c r="I21" s="302"/>
      <c r="K21" s="302"/>
    </row>
    <row r="22" spans="1:120" ht="33" customHeight="1">
      <c r="A22" s="1160" t="s">
        <v>602</v>
      </c>
      <c r="B22" s="1160"/>
      <c r="C22" s="1160"/>
      <c r="D22" s="1160"/>
      <c r="E22" s="1160"/>
      <c r="F22" s="1160"/>
      <c r="G22" s="1160"/>
      <c r="H22" s="637"/>
      <c r="I22" s="637"/>
      <c r="J22" s="637"/>
      <c r="K22" s="637"/>
      <c r="L22" s="637"/>
      <c r="M22" s="637"/>
      <c r="N22" s="637"/>
      <c r="O22" s="637"/>
      <c r="P22" s="637"/>
      <c r="Q22" s="637"/>
      <c r="R22" s="637"/>
      <c r="S22" s="637"/>
      <c r="T22" s="637"/>
      <c r="U22" s="637"/>
    </row>
    <row r="23" spans="1:120" ht="15.75" customHeight="1">
      <c r="A23" s="1160" t="s">
        <v>601</v>
      </c>
      <c r="B23" s="1160"/>
      <c r="C23" s="1160"/>
      <c r="D23" s="1160"/>
      <c r="E23" s="1160"/>
      <c r="F23" s="1160"/>
      <c r="G23" s="1160"/>
      <c r="H23" s="637"/>
      <c r="I23" s="637"/>
      <c r="J23" s="637"/>
      <c r="K23" s="637"/>
      <c r="L23" s="637"/>
      <c r="M23" s="637"/>
      <c r="N23" s="637"/>
      <c r="O23" s="637"/>
      <c r="P23" s="637"/>
      <c r="Q23" s="637"/>
      <c r="R23" s="637"/>
      <c r="S23" s="637"/>
      <c r="T23" s="637"/>
      <c r="U23" s="637"/>
    </row>
    <row r="24" spans="1:120" ht="17.25" customHeight="1">
      <c r="A24" s="1135" t="s">
        <v>509</v>
      </c>
      <c r="B24" s="1135"/>
      <c r="C24" s="1135"/>
      <c r="D24" s="1135"/>
      <c r="E24" s="1135"/>
      <c r="F24" s="1135"/>
      <c r="G24" s="1135"/>
      <c r="H24" s="1135"/>
      <c r="I24" s="1135"/>
      <c r="J24" s="1135"/>
      <c r="K24" s="1135"/>
      <c r="L24" s="1135"/>
      <c r="M24" s="1135"/>
      <c r="N24" s="1135"/>
    </row>
    <row r="25" spans="1:120" ht="17.25" customHeight="1">
      <c r="A25" s="1138" t="s">
        <v>292</v>
      </c>
      <c r="B25" s="1138"/>
      <c r="C25" s="1138"/>
      <c r="D25" s="1138"/>
      <c r="E25" s="1138"/>
      <c r="F25" s="1138"/>
      <c r="G25" s="1138"/>
      <c r="H25" s="1138"/>
      <c r="I25" s="1138"/>
      <c r="J25" s="1138"/>
      <c r="K25" s="1138"/>
      <c r="L25" s="1138"/>
      <c r="M25" s="1138"/>
      <c r="N25" s="1138"/>
    </row>
    <row r="26" spans="1:120" ht="5.25" customHeight="1">
      <c r="A26" s="633"/>
      <c r="B26" s="633"/>
      <c r="C26" s="633"/>
      <c r="D26" s="633"/>
      <c r="E26" s="633"/>
      <c r="F26" s="633"/>
      <c r="G26" s="633"/>
      <c r="H26" s="633"/>
      <c r="I26" s="633"/>
      <c r="J26" s="633"/>
      <c r="K26" s="633"/>
      <c r="L26" s="633"/>
      <c r="M26" s="633"/>
      <c r="N26" s="633"/>
    </row>
    <row r="27" spans="1:120" ht="21" customHeight="1">
      <c r="A27" s="1132" t="s">
        <v>228</v>
      </c>
      <c r="B27" s="1132"/>
      <c r="C27" s="1132"/>
      <c r="D27" s="1132"/>
      <c r="E27" s="1132"/>
      <c r="F27" s="820"/>
      <c r="G27" s="831">
        <v>37</v>
      </c>
      <c r="H27" s="208"/>
      <c r="I27" s="208"/>
      <c r="K27" s="302"/>
    </row>
    <row r="28" spans="1:120">
      <c r="H28" s="208"/>
      <c r="I28" s="208"/>
    </row>
    <row r="30" spans="1:120">
      <c r="E30" s="329"/>
    </row>
    <row r="33" spans="4:4">
      <c r="D33" s="398"/>
    </row>
  </sheetData>
  <mergeCells count="10">
    <mergeCell ref="K3:M3"/>
    <mergeCell ref="A1:G1"/>
    <mergeCell ref="H1:O1"/>
    <mergeCell ref="H2:O2"/>
    <mergeCell ref="A27:E27"/>
    <mergeCell ref="A24:N24"/>
    <mergeCell ref="A25:N25"/>
    <mergeCell ref="A22:G22"/>
    <mergeCell ref="A21:G21"/>
    <mergeCell ref="A23:G23"/>
  </mergeCells>
  <printOptions horizontalCentered="1"/>
  <pageMargins left="0.70866141732283472" right="0.70866141732283472" top="0.35433070866141736" bottom="0.35433070866141736" header="0.31496062992125984" footer="0.31496062992125984"/>
  <pageSetup paperSize="9" scale="94"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O48"/>
  <sheetViews>
    <sheetView rightToLeft="1" view="pageBreakPreview" zoomScaleSheetLayoutView="100" workbookViewId="0">
      <pane ySplit="4" topLeftCell="A5" activePane="bottomLeft" state="frozen"/>
      <selection pane="bottomLeft" activeCell="L26" sqref="L26"/>
    </sheetView>
  </sheetViews>
  <sheetFormatPr defaultColWidth="10.42578125" defaultRowHeight="14.25"/>
  <cols>
    <col min="1" max="1" width="14.140625" style="206" customWidth="1"/>
    <col min="2" max="4" width="12" style="206" customWidth="1"/>
    <col min="5" max="5" width="1.140625" style="206" customWidth="1"/>
    <col min="6" max="8" width="12.140625" style="206" customWidth="1"/>
    <col min="9" max="9" width="1.140625" style="206" customWidth="1"/>
    <col min="10" max="12" width="10" style="206" customWidth="1"/>
    <col min="13" max="13" width="12.85546875" style="208" customWidth="1"/>
    <col min="14" max="14" width="10.42578125" style="206"/>
    <col min="15" max="15" width="17.28515625" style="206" customWidth="1"/>
    <col min="16" max="16384" width="10.42578125" style="206"/>
  </cols>
  <sheetData>
    <row r="1" spans="1:15" ht="25.5" customHeight="1">
      <c r="A1" s="1162" t="s">
        <v>523</v>
      </c>
      <c r="B1" s="1162"/>
      <c r="C1" s="1162"/>
      <c r="D1" s="1162"/>
      <c r="E1" s="1162"/>
      <c r="F1" s="1162"/>
      <c r="G1" s="1162"/>
      <c r="H1" s="1162"/>
      <c r="I1" s="1162"/>
      <c r="J1" s="1162"/>
      <c r="K1" s="1162"/>
      <c r="L1" s="1162"/>
    </row>
    <row r="2" spans="1:15" ht="27.75" customHeight="1" thickBot="1">
      <c r="A2" s="1163" t="s">
        <v>582</v>
      </c>
      <c r="B2" s="1163"/>
      <c r="C2" s="1163"/>
      <c r="D2" s="1163"/>
      <c r="E2" s="1163"/>
      <c r="F2" s="1163"/>
      <c r="G2" s="1163"/>
      <c r="H2" s="1163"/>
      <c r="I2" s="1163"/>
      <c r="J2" s="1163"/>
      <c r="K2" s="1163"/>
      <c r="L2" s="1163"/>
    </row>
    <row r="3" spans="1:15" ht="31.5" customHeight="1" thickTop="1">
      <c r="A3" s="1164" t="s">
        <v>57</v>
      </c>
      <c r="B3" s="1166" t="s">
        <v>5</v>
      </c>
      <c r="C3" s="1166"/>
      <c r="D3" s="1166"/>
      <c r="E3" s="382"/>
      <c r="F3" s="1166" t="s">
        <v>240</v>
      </c>
      <c r="G3" s="1166"/>
      <c r="H3" s="1166"/>
      <c r="I3" s="1166"/>
      <c r="J3" s="1166" t="s">
        <v>241</v>
      </c>
      <c r="K3" s="1166"/>
      <c r="L3" s="1166"/>
    </row>
    <row r="4" spans="1:15" ht="23.25" customHeight="1">
      <c r="A4" s="1165"/>
      <c r="B4" s="243" t="s">
        <v>242</v>
      </c>
      <c r="C4" s="243" t="s">
        <v>73</v>
      </c>
      <c r="D4" s="243" t="s">
        <v>23</v>
      </c>
      <c r="E4" s="383"/>
      <c r="F4" s="243" t="s">
        <v>242</v>
      </c>
      <c r="G4" s="243" t="s">
        <v>73</v>
      </c>
      <c r="H4" s="243" t="s">
        <v>23</v>
      </c>
      <c r="I4" s="1167"/>
      <c r="J4" s="243" t="s">
        <v>236</v>
      </c>
      <c r="K4" s="243" t="s">
        <v>243</v>
      </c>
      <c r="L4" s="243" t="s">
        <v>23</v>
      </c>
    </row>
    <row r="5" spans="1:15" s="249" customFormat="1" ht="21.75" customHeight="1">
      <c r="A5" s="455" t="s">
        <v>58</v>
      </c>
      <c r="B5" s="215">
        <v>2506644</v>
      </c>
      <c r="C5" s="215">
        <v>1626892</v>
      </c>
      <c r="D5" s="215">
        <f>B5+C5</f>
        <v>4133536</v>
      </c>
      <c r="E5" s="555"/>
      <c r="F5" s="215">
        <f t="shared" ref="F5:G8" si="0">B5*J5/100</f>
        <v>2431444.6800000002</v>
      </c>
      <c r="G5" s="215">
        <f t="shared" si="0"/>
        <v>1301513.6000000001</v>
      </c>
      <c r="H5" s="215">
        <v>3732959</v>
      </c>
      <c r="I5" s="215"/>
      <c r="J5" s="357">
        <v>97</v>
      </c>
      <c r="K5" s="357">
        <v>80</v>
      </c>
      <c r="L5" s="357">
        <f t="shared" ref="L5:L14" si="1">H5/D5*100</f>
        <v>90.309096134641138</v>
      </c>
      <c r="M5" s="355"/>
    </row>
    <row r="6" spans="1:15" s="249" customFormat="1" ht="21.75" customHeight="1">
      <c r="A6" s="455" t="s">
        <v>59</v>
      </c>
      <c r="B6" s="215">
        <v>1308895</v>
      </c>
      <c r="C6" s="215">
        <v>461870</v>
      </c>
      <c r="D6" s="215">
        <f t="shared" ref="D6:D20" si="2">B6+C6</f>
        <v>1770765</v>
      </c>
      <c r="E6" s="555"/>
      <c r="F6" s="215">
        <f t="shared" si="0"/>
        <v>1243450.25</v>
      </c>
      <c r="G6" s="215">
        <f t="shared" si="0"/>
        <v>415683</v>
      </c>
      <c r="H6" s="215">
        <f t="shared" ref="H6:H9" si="3">SUM(F6:G6)</f>
        <v>1659133.25</v>
      </c>
      <c r="I6" s="215"/>
      <c r="J6" s="357">
        <v>95</v>
      </c>
      <c r="K6" s="357">
        <v>90</v>
      </c>
      <c r="L6" s="357">
        <f t="shared" si="1"/>
        <v>93.695846145592441</v>
      </c>
      <c r="M6" s="355"/>
    </row>
    <row r="7" spans="1:15" s="443" customFormat="1" ht="21.75" customHeight="1">
      <c r="A7" s="902" t="s">
        <v>60</v>
      </c>
      <c r="B7" s="904">
        <v>892693</v>
      </c>
      <c r="C7" s="904">
        <v>921675</v>
      </c>
      <c r="D7" s="215">
        <f t="shared" si="2"/>
        <v>1814368</v>
      </c>
      <c r="E7" s="946"/>
      <c r="F7" s="904">
        <f t="shared" si="0"/>
        <v>892693</v>
      </c>
      <c r="G7" s="904">
        <f t="shared" si="0"/>
        <v>737340</v>
      </c>
      <c r="H7" s="904">
        <f t="shared" si="3"/>
        <v>1630033</v>
      </c>
      <c r="I7" s="904"/>
      <c r="J7" s="947">
        <v>100</v>
      </c>
      <c r="K7" s="947">
        <v>80</v>
      </c>
      <c r="L7" s="947">
        <f t="shared" si="1"/>
        <v>89.840263937635584</v>
      </c>
      <c r="M7" s="948"/>
    </row>
    <row r="8" spans="1:15" s="249" customFormat="1" ht="21.75" customHeight="1">
      <c r="A8" s="549" t="s">
        <v>296</v>
      </c>
      <c r="B8" s="215">
        <v>981992</v>
      </c>
      <c r="C8" s="215">
        <v>981354</v>
      </c>
      <c r="D8" s="215">
        <f t="shared" si="2"/>
        <v>1963346</v>
      </c>
      <c r="E8" s="555"/>
      <c r="F8" s="215">
        <f t="shared" si="0"/>
        <v>785593.6</v>
      </c>
      <c r="G8" s="215">
        <f t="shared" si="0"/>
        <v>736015.5</v>
      </c>
      <c r="H8" s="215">
        <v>1521610</v>
      </c>
      <c r="I8" s="215"/>
      <c r="J8" s="357">
        <v>80</v>
      </c>
      <c r="K8" s="357">
        <v>75</v>
      </c>
      <c r="L8" s="357">
        <f t="shared" si="1"/>
        <v>77.500858228758446</v>
      </c>
      <c r="M8" s="355"/>
    </row>
    <row r="9" spans="1:15" s="249" customFormat="1" ht="21.75" customHeight="1">
      <c r="A9" s="895" t="s">
        <v>71</v>
      </c>
      <c r="B9" s="215">
        <v>6641440</v>
      </c>
      <c r="C9" s="215">
        <v>0</v>
      </c>
      <c r="D9" s="215">
        <f t="shared" si="2"/>
        <v>6641440</v>
      </c>
      <c r="E9" s="555"/>
      <c r="F9" s="215">
        <v>6641440</v>
      </c>
      <c r="G9" s="215">
        <v>0</v>
      </c>
      <c r="H9" s="215">
        <f t="shared" si="3"/>
        <v>6641440</v>
      </c>
      <c r="I9" s="215"/>
      <c r="J9" s="357">
        <v>100</v>
      </c>
      <c r="K9" s="357">
        <v>0</v>
      </c>
      <c r="L9" s="357">
        <f t="shared" si="1"/>
        <v>100</v>
      </c>
      <c r="M9" s="355"/>
      <c r="O9" s="443"/>
    </row>
    <row r="10" spans="1:15" s="249" customFormat="1" ht="21.75" customHeight="1">
      <c r="A10" s="899" t="s">
        <v>62</v>
      </c>
      <c r="B10" s="215">
        <v>1238060</v>
      </c>
      <c r="C10" s="215">
        <v>1126501</v>
      </c>
      <c r="D10" s="215">
        <f t="shared" si="2"/>
        <v>2364561</v>
      </c>
      <c r="E10" s="555"/>
      <c r="F10" s="215">
        <f t="shared" ref="F10" si="4">B10*J10/100</f>
        <v>1077112.2</v>
      </c>
      <c r="G10" s="215">
        <f t="shared" ref="G10" si="5">C10*K10/100</f>
        <v>980055.87</v>
      </c>
      <c r="H10" s="215">
        <f>SUM(F10:G10)</f>
        <v>2057168.0699999998</v>
      </c>
      <c r="I10" s="215"/>
      <c r="J10" s="357">
        <v>87</v>
      </c>
      <c r="K10" s="357">
        <v>87</v>
      </c>
      <c r="L10" s="357">
        <f t="shared" si="1"/>
        <v>86.999999999999986</v>
      </c>
      <c r="M10" s="355"/>
      <c r="O10" s="443"/>
    </row>
    <row r="11" spans="1:15" s="249" customFormat="1" ht="21.75" customHeight="1">
      <c r="A11" s="577" t="s">
        <v>64</v>
      </c>
      <c r="B11" s="211">
        <v>1104734</v>
      </c>
      <c r="C11" s="211">
        <v>1183722</v>
      </c>
      <c r="D11" s="215">
        <f t="shared" si="2"/>
        <v>2288456</v>
      </c>
      <c r="E11" s="555"/>
      <c r="F11" s="215">
        <f>B11*J11/100</f>
        <v>950071.24</v>
      </c>
      <c r="G11" s="215">
        <f t="shared" ref="F11:G13" si="6">C11*K11/100</f>
        <v>769419.3</v>
      </c>
      <c r="H11" s="215">
        <v>1719490</v>
      </c>
      <c r="I11" s="215"/>
      <c r="J11" s="357">
        <v>86</v>
      </c>
      <c r="K11" s="357">
        <v>65</v>
      </c>
      <c r="L11" s="357">
        <f t="shared" si="1"/>
        <v>75.13755999678385</v>
      </c>
      <c r="M11" s="355"/>
    </row>
    <row r="12" spans="1:15" s="249" customFormat="1" ht="21.75" customHeight="1">
      <c r="A12" s="587" t="s">
        <v>56</v>
      </c>
      <c r="B12" s="215">
        <v>903023</v>
      </c>
      <c r="C12" s="215">
        <v>447554</v>
      </c>
      <c r="D12" s="215">
        <f t="shared" si="2"/>
        <v>1350577</v>
      </c>
      <c r="E12" s="475"/>
      <c r="F12" s="215">
        <f t="shared" si="6"/>
        <v>875932.31</v>
      </c>
      <c r="G12" s="215">
        <f t="shared" si="6"/>
        <v>389371.98</v>
      </c>
      <c r="H12" s="211">
        <f>SUM(F12:G12)</f>
        <v>1265304.29</v>
      </c>
      <c r="I12" s="211"/>
      <c r="J12" s="357">
        <v>97</v>
      </c>
      <c r="K12" s="357">
        <v>87</v>
      </c>
      <c r="L12" s="357">
        <f t="shared" si="1"/>
        <v>93.686201527199117</v>
      </c>
      <c r="M12" s="355"/>
    </row>
    <row r="13" spans="1:15" s="248" customFormat="1" ht="21.75" customHeight="1">
      <c r="A13" s="579" t="s">
        <v>63</v>
      </c>
      <c r="B13" s="215">
        <v>919569</v>
      </c>
      <c r="C13" s="215">
        <v>608342</v>
      </c>
      <c r="D13" s="215">
        <f t="shared" si="2"/>
        <v>1527911</v>
      </c>
      <c r="E13" s="555"/>
      <c r="F13" s="215">
        <f t="shared" si="6"/>
        <v>910373.31</v>
      </c>
      <c r="G13" s="215">
        <f t="shared" si="6"/>
        <v>450173.08</v>
      </c>
      <c r="H13" s="215">
        <f>SUM(F13:G13)</f>
        <v>1360546.3900000001</v>
      </c>
      <c r="I13" s="215"/>
      <c r="J13" s="357">
        <v>99</v>
      </c>
      <c r="K13" s="357">
        <v>74</v>
      </c>
      <c r="L13" s="357">
        <f t="shared" si="1"/>
        <v>89.046180700315674</v>
      </c>
      <c r="M13" s="355"/>
      <c r="O13" s="249"/>
    </row>
    <row r="14" spans="1:15" s="248" customFormat="1" ht="21.75" customHeight="1">
      <c r="A14" s="574" t="s">
        <v>61</v>
      </c>
      <c r="B14" s="215">
        <v>797169</v>
      </c>
      <c r="C14" s="215">
        <v>970668</v>
      </c>
      <c r="D14" s="215">
        <f t="shared" si="2"/>
        <v>1767837</v>
      </c>
      <c r="E14" s="555"/>
      <c r="F14" s="215">
        <f>B14*J14/100</f>
        <v>693537.03</v>
      </c>
      <c r="G14" s="215">
        <f>C14*K14/100</f>
        <v>417387.24</v>
      </c>
      <c r="H14" s="215">
        <f>SUM(F14:G14)</f>
        <v>1110924.27</v>
      </c>
      <c r="I14" s="215"/>
      <c r="J14" s="357">
        <v>87</v>
      </c>
      <c r="K14" s="357">
        <v>43</v>
      </c>
      <c r="L14" s="357">
        <f t="shared" si="1"/>
        <v>62.840876732413676</v>
      </c>
      <c r="M14" s="355"/>
      <c r="O14" s="249"/>
    </row>
    <row r="15" spans="1:15" s="248" customFormat="1" ht="21.75" customHeight="1">
      <c r="A15" s="589" t="s">
        <v>65</v>
      </c>
      <c r="B15" s="215">
        <v>1164671</v>
      </c>
      <c r="C15" s="215">
        <v>466136</v>
      </c>
      <c r="D15" s="215">
        <f t="shared" si="2"/>
        <v>1630807</v>
      </c>
      <c r="E15" s="555"/>
      <c r="F15" s="215">
        <f>B15*J15/100</f>
        <v>1141377.58</v>
      </c>
      <c r="G15" s="215">
        <f>C15*K15/100</f>
        <v>438167.84</v>
      </c>
      <c r="H15" s="215">
        <v>1579546</v>
      </c>
      <c r="I15" s="215"/>
      <c r="J15" s="357">
        <v>98</v>
      </c>
      <c r="K15" s="357">
        <v>94</v>
      </c>
      <c r="L15" s="357">
        <f>H15/D15*100</f>
        <v>96.856709592244812</v>
      </c>
      <c r="M15" s="355"/>
      <c r="O15" s="249"/>
    </row>
    <row r="16" spans="1:15" s="248" customFormat="1" ht="21.75" customHeight="1">
      <c r="A16" s="899" t="s">
        <v>66</v>
      </c>
      <c r="B16" s="215">
        <v>819613</v>
      </c>
      <c r="C16" s="215">
        <v>611101</v>
      </c>
      <c r="D16" s="215">
        <f t="shared" si="2"/>
        <v>1430714</v>
      </c>
      <c r="E16" s="555"/>
      <c r="F16" s="215">
        <f t="shared" ref="F16:G20" si="7">B16*J16/100</f>
        <v>680278.79</v>
      </c>
      <c r="G16" s="215">
        <f t="shared" si="7"/>
        <v>391104.64</v>
      </c>
      <c r="H16" s="215">
        <v>1071384</v>
      </c>
      <c r="I16" s="215"/>
      <c r="J16" s="357">
        <v>83</v>
      </c>
      <c r="K16" s="357">
        <v>64</v>
      </c>
      <c r="L16" s="357">
        <f t="shared" ref="L16:L20" si="8">H16/D16*100</f>
        <v>74.884568124726542</v>
      </c>
      <c r="M16" s="355"/>
      <c r="O16" s="249"/>
    </row>
    <row r="17" spans="1:15" s="248" customFormat="1" ht="21.75" customHeight="1">
      <c r="A17" s="548" t="s">
        <v>67</v>
      </c>
      <c r="B17" s="215">
        <v>419150</v>
      </c>
      <c r="C17" s="215">
        <v>483330</v>
      </c>
      <c r="D17" s="215">
        <f t="shared" si="2"/>
        <v>902480</v>
      </c>
      <c r="E17" s="555"/>
      <c r="F17" s="215">
        <f t="shared" si="7"/>
        <v>368852</v>
      </c>
      <c r="G17" s="215">
        <f t="shared" si="7"/>
        <v>289998</v>
      </c>
      <c r="H17" s="215">
        <f>SUM(F17:G17)</f>
        <v>658850</v>
      </c>
      <c r="I17" s="215"/>
      <c r="J17" s="357">
        <v>88</v>
      </c>
      <c r="K17" s="357">
        <v>60</v>
      </c>
      <c r="L17" s="357">
        <f t="shared" si="8"/>
        <v>73.004387908873326</v>
      </c>
      <c r="M17" s="355"/>
      <c r="O17" s="249"/>
    </row>
    <row r="18" spans="1:15" s="248" customFormat="1" ht="21.75" customHeight="1">
      <c r="A18" s="574" t="s">
        <v>68</v>
      </c>
      <c r="B18" s="215">
        <v>1490300</v>
      </c>
      <c r="C18" s="215">
        <v>831551</v>
      </c>
      <c r="D18" s="215">
        <f t="shared" si="2"/>
        <v>2321851</v>
      </c>
      <c r="E18" s="555"/>
      <c r="F18" s="215">
        <f t="shared" si="7"/>
        <v>1192240</v>
      </c>
      <c r="G18" s="215">
        <f t="shared" si="7"/>
        <v>182941.22</v>
      </c>
      <c r="H18" s="215">
        <f>SUM(F18:G18)</f>
        <v>1375181.22</v>
      </c>
      <c r="I18" s="215"/>
      <c r="J18" s="357">
        <v>80</v>
      </c>
      <c r="K18" s="357">
        <v>22</v>
      </c>
      <c r="L18" s="357">
        <f t="shared" si="8"/>
        <v>59.227797993928121</v>
      </c>
      <c r="M18" s="355"/>
      <c r="O18" s="249"/>
    </row>
    <row r="19" spans="1:15" s="248" customFormat="1" ht="21.75" customHeight="1">
      <c r="A19" s="578" t="s">
        <v>69</v>
      </c>
      <c r="B19" s="215">
        <v>910771</v>
      </c>
      <c r="C19" s="215">
        <v>322282</v>
      </c>
      <c r="D19" s="215">
        <f t="shared" si="2"/>
        <v>1233053</v>
      </c>
      <c r="E19" s="555"/>
      <c r="F19" s="215">
        <f t="shared" si="7"/>
        <v>819693.9</v>
      </c>
      <c r="G19" s="215">
        <f t="shared" si="7"/>
        <v>273939.7</v>
      </c>
      <c r="H19" s="215">
        <f>SUM(F19:G19)</f>
        <v>1093633.6000000001</v>
      </c>
      <c r="I19" s="215"/>
      <c r="J19" s="357">
        <v>90</v>
      </c>
      <c r="K19" s="357">
        <v>85</v>
      </c>
      <c r="L19" s="357">
        <f t="shared" si="8"/>
        <v>88.693154308857785</v>
      </c>
      <c r="M19" s="355"/>
      <c r="O19" s="249"/>
    </row>
    <row r="20" spans="1:15" s="248" customFormat="1" ht="21.75" customHeight="1" thickBot="1">
      <c r="A20" s="216" t="s">
        <v>70</v>
      </c>
      <c r="B20" s="211">
        <v>2617683</v>
      </c>
      <c r="C20" s="211">
        <v>605475</v>
      </c>
      <c r="D20" s="215">
        <f t="shared" si="2"/>
        <v>3223158</v>
      </c>
      <c r="E20" s="475"/>
      <c r="F20" s="215">
        <f t="shared" si="7"/>
        <v>2355914.7000000002</v>
      </c>
      <c r="G20" s="215">
        <f t="shared" si="7"/>
        <v>514653.75</v>
      </c>
      <c r="H20" s="215">
        <v>2870569</v>
      </c>
      <c r="I20" s="211"/>
      <c r="J20" s="357">
        <v>90</v>
      </c>
      <c r="K20" s="357">
        <v>85</v>
      </c>
      <c r="L20" s="357">
        <f t="shared" si="8"/>
        <v>89.060759664900075</v>
      </c>
      <c r="M20" s="355"/>
      <c r="O20" s="249"/>
    </row>
    <row r="21" spans="1:15" ht="21.75" customHeight="1" thickTop="1" thickBot="1">
      <c r="A21" s="222" t="s">
        <v>280</v>
      </c>
      <c r="B21" s="251">
        <f>SUM(B5:B20)</f>
        <v>24716407</v>
      </c>
      <c r="C21" s="251">
        <f>SUM(C5:C20)</f>
        <v>11648453</v>
      </c>
      <c r="D21" s="251">
        <f t="shared" ref="D21" si="9">SUM(B21:C21)</f>
        <v>36364860</v>
      </c>
      <c r="E21" s="250"/>
      <c r="F21" s="225">
        <f>SUM(F5:F20)</f>
        <v>23060004.589999996</v>
      </c>
      <c r="G21" s="225">
        <v>8287766</v>
      </c>
      <c r="H21" s="225">
        <v>31347771</v>
      </c>
      <c r="I21" s="225"/>
      <c r="J21" s="228">
        <f>F21/B21*100</f>
        <v>93.298368933639892</v>
      </c>
      <c r="K21" s="228">
        <f>G21/C21*100</f>
        <v>71.149070181250679</v>
      </c>
      <c r="L21" s="228">
        <f>H21/D21*100</f>
        <v>86.203469503251213</v>
      </c>
    </row>
    <row r="22" spans="1:15" ht="18" customHeight="1" thickTop="1">
      <c r="A22" s="1161" t="s">
        <v>239</v>
      </c>
      <c r="B22" s="1161"/>
      <c r="C22" s="1161"/>
      <c r="D22" s="1161"/>
      <c r="E22" s="218"/>
      <c r="F22" s="226"/>
      <c r="G22" s="226"/>
      <c r="H22" s="226"/>
      <c r="I22" s="226"/>
      <c r="J22" s="220"/>
      <c r="K22" s="220"/>
      <c r="L22" s="220"/>
    </row>
    <row r="23" spans="1:15" ht="18" customHeight="1">
      <c r="A23" s="1135" t="s">
        <v>509</v>
      </c>
      <c r="B23" s="1135"/>
      <c r="C23" s="1135"/>
      <c r="D23" s="1135"/>
      <c r="E23" s="1135"/>
      <c r="F23" s="1135"/>
      <c r="G23" s="1135"/>
      <c r="H23" s="1135"/>
      <c r="I23" s="1135"/>
      <c r="J23" s="1135"/>
      <c r="K23" s="381"/>
      <c r="L23" s="381"/>
      <c r="M23" s="672"/>
      <c r="N23" s="381"/>
    </row>
    <row r="24" spans="1:15" ht="18" customHeight="1">
      <c r="A24" s="1138" t="s">
        <v>292</v>
      </c>
      <c r="B24" s="1138"/>
      <c r="C24" s="1138"/>
      <c r="D24" s="1138"/>
      <c r="E24" s="957"/>
      <c r="F24" s="957"/>
      <c r="G24" s="957"/>
      <c r="H24" s="957"/>
      <c r="I24" s="957"/>
      <c r="J24" s="957"/>
      <c r="K24" s="957"/>
      <c r="L24" s="957"/>
      <c r="M24" s="957"/>
      <c r="N24" s="957"/>
      <c r="O24" s="208"/>
    </row>
    <row r="25" spans="1:15" ht="18" customHeight="1">
      <c r="A25" s="1138"/>
      <c r="B25" s="1138"/>
      <c r="C25" s="1138"/>
      <c r="D25" s="1138"/>
      <c r="E25" s="1138"/>
      <c r="F25" s="1138"/>
      <c r="G25" s="1138"/>
      <c r="H25" s="1138"/>
      <c r="I25" s="1138"/>
      <c r="J25" s="1138"/>
      <c r="K25" s="1138"/>
      <c r="L25" s="1138"/>
      <c r="M25" s="1138"/>
      <c r="N25" s="1138"/>
      <c r="O25" s="208"/>
    </row>
    <row r="26" spans="1:15" ht="24" customHeight="1">
      <c r="A26" s="1132" t="s">
        <v>228</v>
      </c>
      <c r="B26" s="1132"/>
      <c r="C26" s="1132"/>
      <c r="D26" s="1132"/>
      <c r="E26" s="1132"/>
      <c r="F26" s="1132"/>
      <c r="G26" s="1132"/>
      <c r="H26" s="1132"/>
      <c r="I26" s="820"/>
      <c r="J26" s="832"/>
      <c r="K26" s="832"/>
      <c r="L26" s="831">
        <v>38</v>
      </c>
    </row>
    <row r="27" spans="1:15" ht="18" customHeight="1"/>
    <row r="28" spans="1:15" ht="18" customHeight="1"/>
    <row r="31" spans="1:15">
      <c r="B31" s="206">
        <v>2310668.04</v>
      </c>
      <c r="C31" s="206">
        <v>1057009.68</v>
      </c>
      <c r="D31" s="206">
        <v>3228461.5199999996</v>
      </c>
    </row>
    <row r="32" spans="1:15">
      <c r="B32" s="206">
        <v>1169248.1399999999</v>
      </c>
      <c r="C32" s="206">
        <v>345919.1</v>
      </c>
      <c r="D32" s="206">
        <v>1432536.62</v>
      </c>
    </row>
    <row r="33" spans="2:4">
      <c r="B33" s="206">
        <v>848350</v>
      </c>
      <c r="C33" s="206">
        <v>623766.75</v>
      </c>
      <c r="D33" s="206">
        <v>1429303.75</v>
      </c>
    </row>
    <row r="34" spans="2:4">
      <c r="B34" s="206">
        <v>737241.43</v>
      </c>
      <c r="C34" s="206">
        <v>619878.69999999995</v>
      </c>
      <c r="D34" s="206">
        <v>1417383</v>
      </c>
    </row>
    <row r="35" spans="2:4">
      <c r="B35" s="206">
        <v>6311527</v>
      </c>
      <c r="C35" s="206">
        <v>0</v>
      </c>
      <c r="D35" s="206">
        <v>5993043</v>
      </c>
    </row>
    <row r="36" spans="2:4">
      <c r="B36" s="206">
        <v>705936</v>
      </c>
      <c r="C36" s="206">
        <v>406608.4</v>
      </c>
      <c r="D36" s="206">
        <v>1076923</v>
      </c>
    </row>
    <row r="37" spans="2:4">
      <c r="B37" s="206">
        <v>892377.59999999998</v>
      </c>
      <c r="C37" s="206">
        <v>534078.5</v>
      </c>
      <c r="D37" s="206">
        <v>1331586.5</v>
      </c>
    </row>
    <row r="38" spans="2:4">
      <c r="B38" s="206">
        <v>832425.87</v>
      </c>
      <c r="C38" s="206">
        <v>347319.6</v>
      </c>
      <c r="D38" s="206">
        <v>1129596.72</v>
      </c>
    </row>
    <row r="39" spans="2:4">
      <c r="B39" s="206">
        <v>873884</v>
      </c>
      <c r="C39" s="206">
        <v>439152</v>
      </c>
      <c r="D39" s="206">
        <v>1227445.8500000001</v>
      </c>
    </row>
    <row r="40" spans="2:4">
      <c r="B40" s="206">
        <v>606053.6</v>
      </c>
      <c r="C40" s="206">
        <v>376634.42</v>
      </c>
      <c r="D40" s="206">
        <v>916140.16999999993</v>
      </c>
    </row>
    <row r="41" spans="2:4">
      <c r="B41" s="206">
        <v>1084674.78</v>
      </c>
      <c r="C41" s="206">
        <v>344913.32</v>
      </c>
      <c r="D41" s="206">
        <v>1374860</v>
      </c>
    </row>
    <row r="42" spans="2:4">
      <c r="B42" s="206">
        <v>638698.81999999995</v>
      </c>
      <c r="C42" s="206">
        <v>347411.61</v>
      </c>
      <c r="D42" s="206">
        <v>953885</v>
      </c>
    </row>
    <row r="43" spans="2:4">
      <c r="B43" s="206">
        <v>338583.9</v>
      </c>
      <c r="C43" s="206">
        <v>293395.08</v>
      </c>
      <c r="D43" s="206">
        <v>622546.44999999995</v>
      </c>
    </row>
    <row r="44" spans="2:4">
      <c r="B44" s="206">
        <v>1175504.93</v>
      </c>
      <c r="C44" s="206">
        <v>172583.26</v>
      </c>
      <c r="D44" s="206">
        <v>1329119.8600000001</v>
      </c>
    </row>
    <row r="45" spans="2:4">
      <c r="B45" s="206">
        <v>778977</v>
      </c>
      <c r="C45" s="206">
        <v>258829.8</v>
      </c>
      <c r="D45" s="206">
        <v>1023153.0900000001</v>
      </c>
    </row>
    <row r="46" spans="2:4">
      <c r="B46" s="206">
        <v>2238892.2000000002</v>
      </c>
      <c r="C46" s="206">
        <v>491731.20000000001</v>
      </c>
      <c r="D46" s="206">
        <v>2617641.9000000004</v>
      </c>
    </row>
    <row r="48" spans="2:4">
      <c r="B48" s="430">
        <f>SUM(B31:B47)</f>
        <v>21543043.309999995</v>
      </c>
      <c r="C48" s="430">
        <f>SUM(C31:C47)</f>
        <v>6659231.4199999999</v>
      </c>
      <c r="D48" s="430">
        <f>SUM(D31:D47)</f>
        <v>27103626.43</v>
      </c>
    </row>
  </sheetData>
  <mergeCells count="12">
    <mergeCell ref="A1:L1"/>
    <mergeCell ref="A2:L2"/>
    <mergeCell ref="A3:A4"/>
    <mergeCell ref="B3:D3"/>
    <mergeCell ref="F3:H3"/>
    <mergeCell ref="I3:I4"/>
    <mergeCell ref="J3:L3"/>
    <mergeCell ref="A26:H26"/>
    <mergeCell ref="A25:N25"/>
    <mergeCell ref="A23:J23"/>
    <mergeCell ref="A22:D22"/>
    <mergeCell ref="A24:D24"/>
  </mergeCells>
  <printOptions horizontalCentered="1"/>
  <pageMargins left="0.51181102362204722" right="0.51181102362204722" top="0.55118110236220474" bottom="0.55118110236220474" header="0.31496062992125984" footer="0.31496062992125984"/>
  <pageSetup paperSize="9" scale="91"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L53"/>
  <sheetViews>
    <sheetView rightToLeft="1" view="pageBreakPreview" zoomScaleSheetLayoutView="100" workbookViewId="0">
      <pane ySplit="4" topLeftCell="A5" activePane="bottomLeft" state="frozen"/>
      <selection pane="bottomLeft" activeCell="H27" sqref="H27"/>
    </sheetView>
  </sheetViews>
  <sheetFormatPr defaultColWidth="10.42578125" defaultRowHeight="14.25"/>
  <cols>
    <col min="1" max="8" width="17.28515625" style="244" customWidth="1"/>
    <col min="9" max="9" width="14.5703125" style="244" bestFit="1" customWidth="1"/>
    <col min="10" max="10" width="14.7109375" style="244" customWidth="1"/>
    <col min="11" max="11" width="17.85546875" style="244" customWidth="1"/>
    <col min="12" max="16384" width="10.42578125" style="244"/>
  </cols>
  <sheetData>
    <row r="1" spans="1:12" ht="27" customHeight="1">
      <c r="A1" s="1168" t="s">
        <v>603</v>
      </c>
      <c r="B1" s="1168"/>
      <c r="C1" s="1168"/>
      <c r="D1" s="1168"/>
      <c r="E1" s="1168"/>
      <c r="F1" s="1168"/>
      <c r="G1" s="1168"/>
      <c r="H1" s="1168"/>
    </row>
    <row r="2" spans="1:12" ht="29.25" customHeight="1" thickBot="1">
      <c r="A2" s="1169" t="s">
        <v>379</v>
      </c>
      <c r="B2" s="1169"/>
      <c r="C2" s="1169"/>
      <c r="D2" s="1169"/>
      <c r="E2" s="1169"/>
      <c r="F2" s="1169"/>
      <c r="G2" s="1169"/>
      <c r="H2" s="1169"/>
    </row>
    <row r="3" spans="1:12" ht="35.25" customHeight="1" thickTop="1">
      <c r="A3" s="1170" t="s">
        <v>57</v>
      </c>
      <c r="B3" s="1170" t="s">
        <v>238</v>
      </c>
      <c r="C3" s="1172" t="s">
        <v>295</v>
      </c>
      <c r="D3" s="1172"/>
      <c r="E3" s="1172"/>
      <c r="F3" s="1170" t="s">
        <v>328</v>
      </c>
      <c r="G3" s="1170" t="s">
        <v>327</v>
      </c>
      <c r="H3" s="1170" t="s">
        <v>604</v>
      </c>
      <c r="I3" s="344"/>
      <c r="J3" s="345"/>
      <c r="K3" s="345"/>
    </row>
    <row r="4" spans="1:12" ht="25.5" customHeight="1">
      <c r="A4" s="1171"/>
      <c r="B4" s="1171"/>
      <c r="C4" s="243" t="s">
        <v>242</v>
      </c>
      <c r="D4" s="246" t="s">
        <v>73</v>
      </c>
      <c r="E4" s="247" t="s">
        <v>192</v>
      </c>
      <c r="F4" s="1171"/>
      <c r="G4" s="1171"/>
      <c r="H4" s="1171"/>
    </row>
    <row r="5" spans="1:12" s="507" customFormat="1" ht="21" customHeight="1">
      <c r="A5" s="455" t="s">
        <v>58</v>
      </c>
      <c r="B5" s="215">
        <f>'18'!D5</f>
        <v>4133536</v>
      </c>
      <c r="C5" s="215">
        <f>ROUND(E5*J5/100,0)</f>
        <v>1361751</v>
      </c>
      <c r="D5" s="215">
        <f>ROUND(E5*K5/100,0)</f>
        <v>340438</v>
      </c>
      <c r="E5" s="354">
        <v>1702189</v>
      </c>
      <c r="F5" s="354">
        <v>0</v>
      </c>
      <c r="G5" s="354">
        <f t="shared" ref="G5:G16" si="0">SUM(E5:F5)</f>
        <v>1702189</v>
      </c>
      <c r="H5" s="399">
        <f t="shared" ref="H5:H15" si="1">G5/B5*1000</f>
        <v>411.79972788431019</v>
      </c>
      <c r="I5" s="506"/>
      <c r="J5" s="508">
        <v>80</v>
      </c>
      <c r="K5" s="446">
        <v>20</v>
      </c>
      <c r="L5" s="509"/>
    </row>
    <row r="6" spans="1:12" s="249" customFormat="1" ht="21" customHeight="1">
      <c r="A6" s="455" t="s">
        <v>59</v>
      </c>
      <c r="B6" s="215">
        <f>'18'!D6</f>
        <v>1770765</v>
      </c>
      <c r="C6" s="215">
        <f t="shared" ref="C6:C20" si="2">ROUND(E6*J6/100,0)</f>
        <v>526424</v>
      </c>
      <c r="D6" s="215">
        <f t="shared" ref="D6:D20" si="3">ROUND(E6*K6/100,0)</f>
        <v>65064</v>
      </c>
      <c r="E6" s="354">
        <v>591488</v>
      </c>
      <c r="F6" s="354">
        <v>304</v>
      </c>
      <c r="G6" s="215">
        <f t="shared" si="0"/>
        <v>591792</v>
      </c>
      <c r="H6" s="399">
        <f t="shared" si="1"/>
        <v>334.20131976857459</v>
      </c>
      <c r="I6" s="444"/>
      <c r="J6" s="454">
        <v>89</v>
      </c>
      <c r="K6" s="446">
        <v>11</v>
      </c>
      <c r="L6" s="445"/>
    </row>
    <row r="7" spans="1:12" s="249" customFormat="1" ht="21" customHeight="1">
      <c r="A7" s="933" t="s">
        <v>60</v>
      </c>
      <c r="B7" s="215">
        <f>'18'!D7</f>
        <v>1814368</v>
      </c>
      <c r="C7" s="215">
        <f t="shared" si="2"/>
        <v>346982</v>
      </c>
      <c r="D7" s="215">
        <f t="shared" si="3"/>
        <v>148707</v>
      </c>
      <c r="E7" s="354">
        <v>495689</v>
      </c>
      <c r="F7" s="215">
        <v>32742</v>
      </c>
      <c r="G7" s="215">
        <f>F7+E7</f>
        <v>528431</v>
      </c>
      <c r="H7" s="399">
        <f>G7/B7*1000</f>
        <v>291.24797174553339</v>
      </c>
      <c r="I7" s="444"/>
      <c r="J7" s="454">
        <v>70</v>
      </c>
      <c r="K7" s="446">
        <v>30</v>
      </c>
      <c r="L7" s="445"/>
    </row>
    <row r="8" spans="1:12" s="249" customFormat="1" ht="21" customHeight="1">
      <c r="A8" s="549" t="s">
        <v>296</v>
      </c>
      <c r="B8" s="215">
        <f>'18'!D8</f>
        <v>1963346</v>
      </c>
      <c r="C8" s="215">
        <f t="shared" si="2"/>
        <v>308427</v>
      </c>
      <c r="D8" s="215">
        <f t="shared" si="3"/>
        <v>223343</v>
      </c>
      <c r="E8" s="354">
        <v>531770</v>
      </c>
      <c r="F8" s="215">
        <v>0</v>
      </c>
      <c r="G8" s="215">
        <f t="shared" si="0"/>
        <v>531770</v>
      </c>
      <c r="H8" s="399">
        <f t="shared" si="1"/>
        <v>270.8488468155893</v>
      </c>
      <c r="I8" s="444"/>
      <c r="J8" s="454">
        <v>58</v>
      </c>
      <c r="K8" s="446">
        <v>42</v>
      </c>
      <c r="L8" s="445"/>
    </row>
    <row r="9" spans="1:12" s="249" customFormat="1" ht="21" customHeight="1">
      <c r="A9" s="896" t="s">
        <v>71</v>
      </c>
      <c r="B9" s="215">
        <f>'18'!D9</f>
        <v>6641440</v>
      </c>
      <c r="C9" s="354">
        <f t="shared" si="2"/>
        <v>3068050</v>
      </c>
      <c r="D9" s="215">
        <f t="shared" si="3"/>
        <v>0</v>
      </c>
      <c r="E9" s="354">
        <v>3068050</v>
      </c>
      <c r="F9" s="215">
        <v>1700</v>
      </c>
      <c r="G9" s="215">
        <f t="shared" si="0"/>
        <v>3069750</v>
      </c>
      <c r="H9" s="399">
        <f t="shared" si="1"/>
        <v>462.21150834758731</v>
      </c>
      <c r="I9" s="444"/>
      <c r="J9" s="445">
        <v>100</v>
      </c>
      <c r="K9" s="446">
        <v>0</v>
      </c>
      <c r="L9" s="445"/>
    </row>
    <row r="10" spans="1:12" s="249" customFormat="1" ht="21" customHeight="1">
      <c r="A10" s="899" t="s">
        <v>62</v>
      </c>
      <c r="B10" s="215">
        <f>'18'!D10</f>
        <v>2364561</v>
      </c>
      <c r="C10" s="215">
        <f t="shared" si="2"/>
        <v>403766</v>
      </c>
      <c r="D10" s="215">
        <f t="shared" si="3"/>
        <v>269178</v>
      </c>
      <c r="E10" s="354">
        <v>672944</v>
      </c>
      <c r="F10" s="215">
        <v>0</v>
      </c>
      <c r="G10" s="215">
        <f t="shared" si="0"/>
        <v>672944</v>
      </c>
      <c r="H10" s="399">
        <f t="shared" si="1"/>
        <v>284.59574525673054</v>
      </c>
      <c r="I10" s="444"/>
      <c r="J10" s="454">
        <v>60</v>
      </c>
      <c r="K10" s="446">
        <v>40</v>
      </c>
      <c r="L10" s="445"/>
    </row>
    <row r="11" spans="1:12" s="249" customFormat="1" ht="21.75" customHeight="1">
      <c r="A11" s="577" t="s">
        <v>64</v>
      </c>
      <c r="B11" s="215">
        <f>'18'!D11</f>
        <v>2288456</v>
      </c>
      <c r="C11" s="215">
        <f t="shared" si="2"/>
        <v>400066</v>
      </c>
      <c r="D11" s="215">
        <f t="shared" si="3"/>
        <v>266711</v>
      </c>
      <c r="E11" s="354">
        <v>666777</v>
      </c>
      <c r="F11" s="215">
        <v>0</v>
      </c>
      <c r="G11" s="215">
        <f t="shared" si="0"/>
        <v>666777</v>
      </c>
      <c r="H11" s="399">
        <f t="shared" si="1"/>
        <v>291.3654446491434</v>
      </c>
      <c r="I11" s="444"/>
      <c r="J11" s="445">
        <v>60</v>
      </c>
      <c r="K11" s="446">
        <v>40</v>
      </c>
      <c r="L11" s="445"/>
    </row>
    <row r="12" spans="1:12" s="249" customFormat="1" ht="21" customHeight="1">
      <c r="A12" s="587" t="s">
        <v>56</v>
      </c>
      <c r="B12" s="215">
        <f>'18'!D12</f>
        <v>1350577</v>
      </c>
      <c r="C12" s="215">
        <f t="shared" si="2"/>
        <v>264948</v>
      </c>
      <c r="D12" s="215">
        <f t="shared" si="3"/>
        <v>176632</v>
      </c>
      <c r="E12" s="354">
        <v>441580</v>
      </c>
      <c r="F12" s="211">
        <v>0</v>
      </c>
      <c r="G12" s="211">
        <f t="shared" si="0"/>
        <v>441580</v>
      </c>
      <c r="H12" s="399">
        <f t="shared" si="1"/>
        <v>326.95655264379599</v>
      </c>
      <c r="I12" s="444"/>
      <c r="J12" s="445">
        <v>60</v>
      </c>
      <c r="K12" s="446">
        <v>40</v>
      </c>
      <c r="L12" s="445"/>
    </row>
    <row r="13" spans="1:12" s="248" customFormat="1" ht="21" customHeight="1">
      <c r="A13" s="579" t="s">
        <v>63</v>
      </c>
      <c r="B13" s="215">
        <f>'18'!D13</f>
        <v>1527911</v>
      </c>
      <c r="C13" s="215">
        <f t="shared" si="2"/>
        <v>223978</v>
      </c>
      <c r="D13" s="215">
        <f t="shared" si="3"/>
        <v>95990</v>
      </c>
      <c r="E13" s="354">
        <v>319968</v>
      </c>
      <c r="F13" s="215">
        <v>128750</v>
      </c>
      <c r="G13" s="215">
        <f t="shared" si="0"/>
        <v>448718</v>
      </c>
      <c r="H13" s="399">
        <f t="shared" si="1"/>
        <v>293.68071831409026</v>
      </c>
      <c r="I13" s="444"/>
      <c r="J13" s="449">
        <v>70</v>
      </c>
      <c r="K13" s="446">
        <v>30</v>
      </c>
      <c r="L13" s="445"/>
    </row>
    <row r="14" spans="1:12" s="248" customFormat="1" ht="20.25" customHeight="1">
      <c r="A14" s="574" t="s">
        <v>61</v>
      </c>
      <c r="B14" s="215">
        <f>'18'!D14</f>
        <v>1767837</v>
      </c>
      <c r="C14" s="215">
        <f t="shared" si="2"/>
        <v>206628</v>
      </c>
      <c r="D14" s="215">
        <f t="shared" si="3"/>
        <v>97237</v>
      </c>
      <c r="E14" s="354">
        <v>303865</v>
      </c>
      <c r="F14" s="215">
        <v>118530</v>
      </c>
      <c r="G14" s="215">
        <f t="shared" si="0"/>
        <v>422395</v>
      </c>
      <c r="H14" s="399">
        <f t="shared" si="1"/>
        <v>238.93322744121772</v>
      </c>
      <c r="I14" s="444"/>
      <c r="J14" s="467">
        <v>68</v>
      </c>
      <c r="K14" s="446">
        <v>32</v>
      </c>
      <c r="L14" s="445"/>
    </row>
    <row r="15" spans="1:12" s="248" customFormat="1" ht="21.75" customHeight="1">
      <c r="A15" s="589" t="s">
        <v>65</v>
      </c>
      <c r="B15" s="215">
        <v>1630807</v>
      </c>
      <c r="C15" s="215">
        <f t="shared" si="2"/>
        <v>418071</v>
      </c>
      <c r="D15" s="215">
        <f t="shared" si="3"/>
        <v>154629</v>
      </c>
      <c r="E15" s="354">
        <v>572700</v>
      </c>
      <c r="F15" s="215">
        <v>2000</v>
      </c>
      <c r="G15" s="215">
        <f t="shared" si="0"/>
        <v>574700</v>
      </c>
      <c r="H15" s="399">
        <f t="shared" si="1"/>
        <v>352.40221559019551</v>
      </c>
      <c r="I15" s="444"/>
      <c r="J15" s="449">
        <v>73</v>
      </c>
      <c r="K15" s="446">
        <v>27</v>
      </c>
      <c r="L15" s="445"/>
    </row>
    <row r="16" spans="1:12" s="248" customFormat="1" ht="21" customHeight="1">
      <c r="A16" s="899" t="s">
        <v>66</v>
      </c>
      <c r="B16" s="215">
        <f>'18'!D16</f>
        <v>1430714</v>
      </c>
      <c r="C16" s="215">
        <f t="shared" si="2"/>
        <v>251285</v>
      </c>
      <c r="D16" s="215">
        <f t="shared" si="3"/>
        <v>147580</v>
      </c>
      <c r="E16" s="354">
        <v>398865</v>
      </c>
      <c r="F16" s="904">
        <v>45145</v>
      </c>
      <c r="G16" s="904">
        <f t="shared" si="0"/>
        <v>444010</v>
      </c>
      <c r="H16" s="571">
        <f>G16/B16*1000</f>
        <v>310.34154974369443</v>
      </c>
      <c r="I16" s="444"/>
      <c r="J16" s="449">
        <v>63</v>
      </c>
      <c r="K16" s="446">
        <v>37</v>
      </c>
      <c r="L16" s="445"/>
    </row>
    <row r="17" spans="1:12" s="248" customFormat="1" ht="21" customHeight="1">
      <c r="A17" s="548" t="s">
        <v>67</v>
      </c>
      <c r="B17" s="215">
        <f>'18'!D17</f>
        <v>902480</v>
      </c>
      <c r="C17" s="215">
        <f t="shared" si="2"/>
        <v>91588</v>
      </c>
      <c r="D17" s="215">
        <f t="shared" si="3"/>
        <v>49316</v>
      </c>
      <c r="E17" s="354">
        <v>140904</v>
      </c>
      <c r="F17" s="215">
        <v>0</v>
      </c>
      <c r="G17" s="215">
        <f>SUM(E17:F17)</f>
        <v>140904</v>
      </c>
      <c r="H17" s="399">
        <f t="shared" ref="H17:H20" si="4">G17/B17*1000</f>
        <v>156.12977572910202</v>
      </c>
      <c r="I17" s="444"/>
      <c r="J17" s="463">
        <v>65</v>
      </c>
      <c r="K17" s="446">
        <v>35</v>
      </c>
      <c r="L17" s="445"/>
    </row>
    <row r="18" spans="1:12" s="248" customFormat="1" ht="21" customHeight="1">
      <c r="A18" s="574" t="s">
        <v>68</v>
      </c>
      <c r="B18" s="215">
        <f>'18'!D18</f>
        <v>2321851</v>
      </c>
      <c r="C18" s="215">
        <f t="shared" si="2"/>
        <v>329761</v>
      </c>
      <c r="D18" s="215">
        <f t="shared" si="3"/>
        <v>72386</v>
      </c>
      <c r="E18" s="354">
        <v>402147</v>
      </c>
      <c r="F18" s="215">
        <v>1180</v>
      </c>
      <c r="G18" s="215">
        <f>SUM(E18:F18)</f>
        <v>403327</v>
      </c>
      <c r="H18" s="399">
        <f t="shared" si="4"/>
        <v>173.70925179953409</v>
      </c>
      <c r="I18" s="444"/>
      <c r="J18" s="463">
        <v>82</v>
      </c>
      <c r="K18" s="446">
        <v>18</v>
      </c>
      <c r="L18" s="445"/>
    </row>
    <row r="19" spans="1:12" s="248" customFormat="1" ht="21" customHeight="1">
      <c r="A19" s="578" t="s">
        <v>69</v>
      </c>
      <c r="B19" s="215">
        <f>'18'!D19</f>
        <v>1233053</v>
      </c>
      <c r="C19" s="215">
        <f t="shared" si="2"/>
        <v>432086</v>
      </c>
      <c r="D19" s="215">
        <f t="shared" si="3"/>
        <v>232662</v>
      </c>
      <c r="E19" s="354">
        <v>664748</v>
      </c>
      <c r="F19" s="215">
        <v>130</v>
      </c>
      <c r="G19" s="215">
        <f>SUM(E19:F19)</f>
        <v>664878</v>
      </c>
      <c r="H19" s="399">
        <f t="shared" si="4"/>
        <v>539.21283188962673</v>
      </c>
      <c r="I19" s="444"/>
      <c r="J19" s="449">
        <v>65</v>
      </c>
      <c r="K19" s="446">
        <v>35</v>
      </c>
      <c r="L19" s="445"/>
    </row>
    <row r="20" spans="1:12" s="248" customFormat="1" ht="21" customHeight="1" thickBot="1">
      <c r="A20" s="216" t="s">
        <v>70</v>
      </c>
      <c r="B20" s="215">
        <f>'18'!D20</f>
        <v>3223158</v>
      </c>
      <c r="C20" s="215">
        <f t="shared" si="2"/>
        <v>1159301</v>
      </c>
      <c r="D20" s="215">
        <f t="shared" si="3"/>
        <v>237447</v>
      </c>
      <c r="E20" s="354">
        <v>1396748</v>
      </c>
      <c r="F20" s="211">
        <v>0</v>
      </c>
      <c r="G20" s="211">
        <f>SUM(E20:F20)</f>
        <v>1396748</v>
      </c>
      <c r="H20" s="399">
        <f t="shared" si="4"/>
        <v>433.34766710164382</v>
      </c>
      <c r="I20" s="444"/>
      <c r="J20" s="476">
        <v>83</v>
      </c>
      <c r="K20" s="446">
        <v>17</v>
      </c>
      <c r="L20" s="445"/>
    </row>
    <row r="21" spans="1:12" s="206" customFormat="1" ht="21" customHeight="1" thickTop="1" thickBot="1">
      <c r="A21" s="222" t="s">
        <v>280</v>
      </c>
      <c r="B21" s="251">
        <f>SUM(B5:B20)</f>
        <v>36364860</v>
      </c>
      <c r="C21" s="225">
        <f>SUM(C5:C20)</f>
        <v>9793112</v>
      </c>
      <c r="D21" s="225">
        <v>2577320</v>
      </c>
      <c r="E21" s="225">
        <v>12370432</v>
      </c>
      <c r="F21" s="225">
        <f>SUM(F5:F20)</f>
        <v>330481</v>
      </c>
      <c r="G21" s="225">
        <v>12700913</v>
      </c>
      <c r="H21" s="305">
        <f>G21/B21*1000</f>
        <v>349.26335478811137</v>
      </c>
      <c r="I21" s="346"/>
      <c r="J21" s="347"/>
      <c r="K21" s="361"/>
      <c r="L21" s="347"/>
    </row>
    <row r="22" spans="1:12" s="206" customFormat="1" ht="25.5" customHeight="1" thickTop="1">
      <c r="A22" s="1161" t="s">
        <v>239</v>
      </c>
      <c r="B22" s="1161"/>
      <c r="C22" s="1161"/>
      <c r="D22" s="1161"/>
      <c r="E22" s="1161"/>
      <c r="F22" s="221"/>
      <c r="G22" s="221"/>
      <c r="H22" s="208"/>
      <c r="I22" s="350"/>
      <c r="J22" s="349"/>
      <c r="K22" s="349"/>
      <c r="L22" s="349"/>
    </row>
    <row r="23" spans="1:12" s="206" customFormat="1" ht="18" customHeight="1">
      <c r="A23" s="1135" t="s">
        <v>509</v>
      </c>
      <c r="B23" s="1135"/>
      <c r="C23" s="1135"/>
      <c r="D23" s="1135"/>
      <c r="E23" s="1135"/>
      <c r="F23" s="1135"/>
      <c r="G23" s="208"/>
      <c r="I23" s="349"/>
      <c r="J23" s="349"/>
      <c r="K23" s="349"/>
      <c r="L23" s="349"/>
    </row>
    <row r="24" spans="1:12" s="206" customFormat="1" ht="21" customHeight="1">
      <c r="A24" s="1138" t="s">
        <v>292</v>
      </c>
      <c r="B24" s="1138"/>
      <c r="C24" s="1138"/>
      <c r="D24" s="1138"/>
      <c r="E24" s="1138"/>
      <c r="F24" s="1138"/>
      <c r="G24" s="393"/>
      <c r="H24" s="208"/>
      <c r="I24" s="349"/>
      <c r="J24" s="349"/>
      <c r="K24" s="349"/>
      <c r="L24" s="349"/>
    </row>
    <row r="25" spans="1:12" s="206" customFormat="1" ht="12" customHeight="1">
      <c r="A25" s="633"/>
      <c r="B25" s="633"/>
      <c r="C25" s="633"/>
      <c r="D25" s="633"/>
      <c r="E25" s="633"/>
      <c r="F25" s="633"/>
      <c r="G25" s="635"/>
      <c r="H25" s="208"/>
      <c r="I25" s="349"/>
      <c r="J25" s="349"/>
      <c r="K25" s="349"/>
      <c r="L25" s="349"/>
    </row>
    <row r="26" spans="1:12" s="206" customFormat="1" ht="21.75" customHeight="1">
      <c r="G26" s="394"/>
      <c r="H26" s="208"/>
      <c r="I26" s="349"/>
      <c r="J26" s="349"/>
      <c r="K26" s="349"/>
      <c r="L26" s="349"/>
    </row>
    <row r="27" spans="1:12" ht="21" customHeight="1">
      <c r="A27" s="1132" t="s">
        <v>228</v>
      </c>
      <c r="B27" s="1132"/>
      <c r="C27" s="1132"/>
      <c r="D27" s="821"/>
      <c r="E27" s="821"/>
      <c r="F27" s="821"/>
      <c r="G27" s="821"/>
      <c r="H27" s="822">
        <v>39</v>
      </c>
      <c r="I27" s="351"/>
      <c r="J27" s="345"/>
      <c r="K27" s="345"/>
      <c r="L27" s="345"/>
    </row>
    <row r="28" spans="1:12">
      <c r="H28" s="245"/>
      <c r="I28" s="245"/>
    </row>
    <row r="29" spans="1:12">
      <c r="H29" s="245"/>
      <c r="I29" s="245"/>
    </row>
    <row r="30" spans="1:12">
      <c r="H30" s="245"/>
      <c r="I30" s="245"/>
    </row>
    <row r="31" spans="1:12">
      <c r="C31" s="358"/>
      <c r="D31" s="358"/>
      <c r="E31" s="358"/>
      <c r="G31" s="358"/>
      <c r="H31" s="245"/>
      <c r="I31" s="245"/>
    </row>
    <row r="32" spans="1:12" ht="20.25" customHeight="1">
      <c r="A32" s="557" t="s">
        <v>58</v>
      </c>
      <c r="B32" s="558">
        <v>1902440.25</v>
      </c>
      <c r="C32" s="558">
        <f>B32*F32/100</f>
        <v>1331708.175</v>
      </c>
      <c r="D32" s="558">
        <f>B32*G32/100</f>
        <v>570732.07499999995</v>
      </c>
      <c r="E32" s="558">
        <f>SUM(C32:D32)</f>
        <v>1902440.25</v>
      </c>
      <c r="F32" s="559">
        <v>70</v>
      </c>
      <c r="G32" s="558">
        <v>30</v>
      </c>
      <c r="H32" s="245"/>
      <c r="I32" s="245"/>
    </row>
    <row r="33" spans="1:9" ht="20.25" customHeight="1">
      <c r="A33" s="557" t="s">
        <v>59</v>
      </c>
      <c r="B33" s="558">
        <v>842476</v>
      </c>
      <c r="C33" s="558">
        <f>B33*F33/100</f>
        <v>749803.64</v>
      </c>
      <c r="D33" s="558">
        <f>B33*G33/100</f>
        <v>92672.36</v>
      </c>
      <c r="E33" s="558">
        <f>SUM(C33:D33)</f>
        <v>842476</v>
      </c>
      <c r="F33" s="559">
        <v>89</v>
      </c>
      <c r="G33" s="558">
        <v>11</v>
      </c>
      <c r="H33" s="245"/>
      <c r="I33" s="245"/>
    </row>
    <row r="34" spans="1:9" ht="20.25" customHeight="1">
      <c r="A34" s="557" t="s">
        <v>60</v>
      </c>
      <c r="B34" s="558">
        <v>508340</v>
      </c>
      <c r="C34" s="558">
        <f>B34*F34/100</f>
        <v>406672</v>
      </c>
      <c r="D34" s="558">
        <f>B34*G34/100</f>
        <v>101668</v>
      </c>
      <c r="E34" s="558">
        <f>SUM(C34:D34)</f>
        <v>508340</v>
      </c>
      <c r="F34" s="559">
        <v>80</v>
      </c>
      <c r="G34" s="559">
        <v>20</v>
      </c>
      <c r="H34" s="245"/>
      <c r="I34" s="245"/>
    </row>
    <row r="35" spans="1:9" ht="20.25" customHeight="1">
      <c r="A35" s="557" t="s">
        <v>296</v>
      </c>
      <c r="B35" s="558">
        <v>448977</v>
      </c>
      <c r="C35" s="558">
        <f>B35*F35/100</f>
        <v>269386.2</v>
      </c>
      <c r="D35" s="558">
        <f>B35*G35/100</f>
        <v>179590.8</v>
      </c>
      <c r="E35" s="558">
        <f>SUM(C35:D35)</f>
        <v>448977</v>
      </c>
      <c r="F35" s="559">
        <v>60</v>
      </c>
      <c r="G35" s="559">
        <v>40</v>
      </c>
      <c r="H35" s="245"/>
      <c r="I35" s="245"/>
    </row>
    <row r="36" spans="1:9" ht="20.25" customHeight="1">
      <c r="A36" s="557" t="s">
        <v>71</v>
      </c>
      <c r="B36" s="558"/>
      <c r="C36" s="558"/>
      <c r="D36" s="558"/>
      <c r="E36" s="558"/>
      <c r="F36" s="559"/>
      <c r="G36" s="559"/>
      <c r="H36" s="245"/>
      <c r="I36" s="245"/>
    </row>
    <row r="37" spans="1:9" ht="20.25" customHeight="1">
      <c r="A37" s="557" t="s">
        <v>62</v>
      </c>
      <c r="B37" s="558">
        <v>623105</v>
      </c>
      <c r="C37" s="558">
        <f>B37*F37/100</f>
        <v>373863</v>
      </c>
      <c r="D37" s="558">
        <f>B37*G37/100</f>
        <v>249242</v>
      </c>
      <c r="E37" s="558">
        <f>SUM(C37:D37)</f>
        <v>623105</v>
      </c>
      <c r="F37" s="559">
        <v>60</v>
      </c>
      <c r="G37" s="559">
        <v>40</v>
      </c>
      <c r="H37" s="245"/>
      <c r="I37" s="245"/>
    </row>
    <row r="38" spans="1:9" ht="20.25" customHeight="1">
      <c r="A38" s="557" t="s">
        <v>64</v>
      </c>
      <c r="B38" s="558">
        <v>703660</v>
      </c>
      <c r="C38" s="558">
        <f>B38*F38/100</f>
        <v>422196</v>
      </c>
      <c r="D38" s="558">
        <f>B38*G38/100</f>
        <v>281464</v>
      </c>
      <c r="E38" s="558">
        <f>SUM(C38:D38)</f>
        <v>703660</v>
      </c>
      <c r="F38" s="559">
        <v>60</v>
      </c>
      <c r="G38" s="559">
        <v>40</v>
      </c>
      <c r="H38" s="245"/>
      <c r="I38" s="245"/>
    </row>
    <row r="39" spans="1:9" ht="20.25" customHeight="1">
      <c r="A39" s="557" t="s">
        <v>56</v>
      </c>
      <c r="B39" s="558">
        <v>428305</v>
      </c>
      <c r="C39" s="558">
        <f>B39*F39/100</f>
        <v>256983</v>
      </c>
      <c r="D39" s="558">
        <f>B39*G39/100</f>
        <v>171322</v>
      </c>
      <c r="E39" s="558">
        <f>SUM(C39:D39)</f>
        <v>428305</v>
      </c>
      <c r="F39" s="559">
        <v>60</v>
      </c>
      <c r="G39" s="559">
        <v>40</v>
      </c>
      <c r="H39" s="245"/>
      <c r="I39" s="245"/>
    </row>
    <row r="40" spans="1:9" ht="20.25" customHeight="1">
      <c r="A40" s="557" t="s">
        <v>63</v>
      </c>
      <c r="B40" s="558">
        <v>483153</v>
      </c>
      <c r="C40" s="558">
        <f>B40*F40/100</f>
        <v>193261.2</v>
      </c>
      <c r="D40" s="558">
        <f>B40*G40/100</f>
        <v>289891.8</v>
      </c>
      <c r="E40" s="558">
        <f>SUM(C40:D40)</f>
        <v>483153</v>
      </c>
      <c r="F40" s="559">
        <v>40</v>
      </c>
      <c r="G40" s="559">
        <v>60</v>
      </c>
      <c r="H40" s="245"/>
      <c r="I40" s="245"/>
    </row>
    <row r="41" spans="1:9" ht="20.25" customHeight="1">
      <c r="A41" s="557" t="s">
        <v>61</v>
      </c>
      <c r="B41" s="558">
        <v>273559</v>
      </c>
      <c r="C41" s="558">
        <f>B41*F41/100</f>
        <v>186020.12</v>
      </c>
      <c r="D41" s="558">
        <f>B41*G41/100</f>
        <v>87538.880000000005</v>
      </c>
      <c r="E41" s="558">
        <f>SUM(C41:D41)</f>
        <v>273559</v>
      </c>
      <c r="F41" s="559">
        <v>68</v>
      </c>
      <c r="G41" s="559">
        <v>32</v>
      </c>
      <c r="H41" s="245"/>
      <c r="I41" s="245"/>
    </row>
    <row r="42" spans="1:9" ht="20.25" customHeight="1">
      <c r="A42" s="557" t="s">
        <v>65</v>
      </c>
      <c r="B42" s="558"/>
      <c r="C42" s="558"/>
      <c r="D42" s="558"/>
      <c r="E42" s="558"/>
      <c r="F42" s="559"/>
      <c r="G42" s="559"/>
      <c r="H42" s="245"/>
      <c r="I42" s="245"/>
    </row>
    <row r="43" spans="1:9" ht="20.25" customHeight="1">
      <c r="A43" s="557" t="s">
        <v>66</v>
      </c>
      <c r="B43" s="558">
        <v>242794</v>
      </c>
      <c r="C43" s="558">
        <f>B43*F43/100</f>
        <v>157816.1</v>
      </c>
      <c r="D43" s="558">
        <f>B43*G43/100</f>
        <v>84977.9</v>
      </c>
      <c r="E43" s="558">
        <f>SUM(C43:D43)</f>
        <v>242794</v>
      </c>
      <c r="F43" s="559">
        <v>65</v>
      </c>
      <c r="G43" s="559">
        <v>35</v>
      </c>
      <c r="H43" s="245"/>
      <c r="I43" s="245"/>
    </row>
    <row r="44" spans="1:9" ht="20.25" customHeight="1">
      <c r="A44" s="557" t="s">
        <v>67</v>
      </c>
      <c r="B44" s="558">
        <v>163264</v>
      </c>
      <c r="C44" s="558">
        <f>B44*F44/100</f>
        <v>114284.8</v>
      </c>
      <c r="D44" s="558">
        <f>B44*G44/100</f>
        <v>48979.199999999997</v>
      </c>
      <c r="E44" s="558">
        <f>SUM(C44:D44)</f>
        <v>163264</v>
      </c>
      <c r="F44" s="559">
        <v>70</v>
      </c>
      <c r="G44" s="559">
        <v>30</v>
      </c>
      <c r="H44" s="245"/>
      <c r="I44" s="245"/>
    </row>
    <row r="45" spans="1:9" ht="20.25" customHeight="1">
      <c r="A45" s="557" t="s">
        <v>68</v>
      </c>
      <c r="B45" s="558">
        <v>479655</v>
      </c>
      <c r="C45" s="558">
        <f>B45*F45/100</f>
        <v>393317.1</v>
      </c>
      <c r="D45" s="558">
        <f>B45*G45/100</f>
        <v>86337.9</v>
      </c>
      <c r="E45" s="558">
        <f>SUM(C45:D45)</f>
        <v>479655</v>
      </c>
      <c r="F45" s="559">
        <v>82</v>
      </c>
      <c r="G45" s="559">
        <v>18</v>
      </c>
      <c r="H45" s="245"/>
      <c r="I45" s="245"/>
    </row>
    <row r="46" spans="1:9" ht="20.25" customHeight="1">
      <c r="A46" s="557" t="s">
        <v>69</v>
      </c>
      <c r="B46" s="558">
        <v>744988</v>
      </c>
      <c r="C46" s="558">
        <f>B46*F46/100</f>
        <v>484242.2</v>
      </c>
      <c r="D46" s="558">
        <f>B46*G46/100</f>
        <v>260745.8</v>
      </c>
      <c r="E46" s="558">
        <f>SUM(C46:D46)</f>
        <v>744988</v>
      </c>
      <c r="F46" s="559">
        <v>65</v>
      </c>
      <c r="G46" s="559">
        <v>35</v>
      </c>
      <c r="H46" s="245"/>
      <c r="I46" s="245"/>
    </row>
    <row r="47" spans="1:9" ht="20.25" customHeight="1">
      <c r="A47" s="557" t="s">
        <v>70</v>
      </c>
      <c r="B47" s="558">
        <f>'17'!G19</f>
        <v>1396747.78</v>
      </c>
      <c r="C47" s="558">
        <f>B47*83/100</f>
        <v>1159300.6574000001</v>
      </c>
      <c r="D47" s="558">
        <f>B47*17/100</f>
        <v>237447.1226</v>
      </c>
      <c r="E47" s="558">
        <f>SUM(C47:D47)</f>
        <v>1396747.7800000003</v>
      </c>
      <c r="F47" s="559">
        <v>83</v>
      </c>
      <c r="G47" s="559">
        <v>17</v>
      </c>
      <c r="H47" s="245"/>
      <c r="I47" s="245"/>
    </row>
    <row r="48" spans="1:9">
      <c r="A48" s="559"/>
      <c r="B48" s="559"/>
      <c r="C48" s="559"/>
      <c r="D48" s="559"/>
      <c r="E48" s="559"/>
      <c r="F48" s="559"/>
      <c r="G48" s="559"/>
      <c r="H48" s="245"/>
      <c r="I48" s="245"/>
    </row>
    <row r="49" spans="4:9">
      <c r="D49" s="358"/>
      <c r="H49" s="245"/>
      <c r="I49" s="245"/>
    </row>
    <row r="50" spans="4:9">
      <c r="H50" s="245"/>
      <c r="I50" s="245"/>
    </row>
    <row r="51" spans="4:9">
      <c r="H51" s="245"/>
      <c r="I51" s="245"/>
    </row>
    <row r="52" spans="4:9">
      <c r="H52" s="245"/>
      <c r="I52" s="245"/>
    </row>
    <row r="53" spans="4:9">
      <c r="H53" s="245"/>
      <c r="I53" s="245"/>
    </row>
  </sheetData>
  <mergeCells count="12">
    <mergeCell ref="A27:C27"/>
    <mergeCell ref="A1:H1"/>
    <mergeCell ref="A2:H2"/>
    <mergeCell ref="H3:H4"/>
    <mergeCell ref="B3:B4"/>
    <mergeCell ref="F3:F4"/>
    <mergeCell ref="G3:G4"/>
    <mergeCell ref="A22:E22"/>
    <mergeCell ref="A3:A4"/>
    <mergeCell ref="C3:E3"/>
    <mergeCell ref="A23:F23"/>
    <mergeCell ref="A24:F24"/>
  </mergeCells>
  <printOptions horizontalCentered="1"/>
  <pageMargins left="0.51181102362204722" right="0.51181102362204722" top="0.55118110236220474" bottom="0.55118110236220474" header="0.31496062992125984" footer="0.31496062992125984"/>
  <pageSetup paperSize="9" scale="8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I26"/>
  <sheetViews>
    <sheetView rightToLeft="1" view="pageBreakPreview" zoomScale="130" zoomScaleNormal="142" zoomScaleSheetLayoutView="130" workbookViewId="0">
      <selection activeCell="C5" sqref="C5"/>
    </sheetView>
  </sheetViews>
  <sheetFormatPr defaultColWidth="9.140625" defaultRowHeight="15"/>
  <cols>
    <col min="1" max="1" width="2.85546875" style="1" customWidth="1"/>
    <col min="2" max="2" width="20" style="1" customWidth="1"/>
    <col min="3" max="3" width="24.28515625" style="1" customWidth="1"/>
    <col min="4" max="4" width="20" style="1" customWidth="1"/>
    <col min="5" max="5" width="25.28515625" style="1" customWidth="1"/>
    <col min="6" max="6" width="9.140625" style="1"/>
    <col min="7" max="7" width="9.28515625" style="1" bestFit="1" customWidth="1"/>
    <col min="8" max="8" width="18" style="1" bestFit="1" customWidth="1"/>
    <col min="9" max="9" width="11" style="1" bestFit="1" customWidth="1"/>
    <col min="10" max="16384" width="9.140625" style="1"/>
  </cols>
  <sheetData>
    <row r="1" spans="1:9" ht="26.25" customHeight="1">
      <c r="B1" s="1082" t="s">
        <v>537</v>
      </c>
      <c r="C1" s="1082"/>
      <c r="D1" s="1082"/>
      <c r="E1" s="1082"/>
    </row>
    <row r="2" spans="1:9" ht="23.25" customHeight="1" thickBot="1">
      <c r="B2" s="1083" t="s">
        <v>334</v>
      </c>
      <c r="C2" s="1083"/>
      <c r="D2" s="1083"/>
      <c r="E2" s="1083"/>
    </row>
    <row r="3" spans="1:9" ht="38.25" customHeight="1" thickTop="1">
      <c r="A3" s="143"/>
      <c r="B3" s="151" t="s">
        <v>1</v>
      </c>
      <c r="C3" s="151" t="s">
        <v>320</v>
      </c>
      <c r="D3" s="151" t="s">
        <v>5</v>
      </c>
      <c r="E3" s="151" t="s">
        <v>370</v>
      </c>
    </row>
    <row r="4" spans="1:9" ht="29.25" customHeight="1">
      <c r="B4" s="45" t="s">
        <v>2</v>
      </c>
      <c r="C4" s="47">
        <v>47.57</v>
      </c>
      <c r="D4" s="89">
        <v>33338757</v>
      </c>
      <c r="E4" s="47">
        <v>1426.8678343346753</v>
      </c>
      <c r="G4" s="2">
        <v>47.57</v>
      </c>
      <c r="H4" s="375">
        <f t="shared" ref="H4:H7" si="0">G4*1000000000</f>
        <v>47570000000</v>
      </c>
      <c r="I4" s="4">
        <f t="shared" ref="I4:I10" si="1">H4/D4</f>
        <v>1426.8678343346753</v>
      </c>
    </row>
    <row r="5" spans="1:9" ht="29.25" customHeight="1" thickBot="1">
      <c r="B5" s="45" t="s">
        <v>3</v>
      </c>
      <c r="C5" s="47">
        <v>49.11</v>
      </c>
      <c r="D5" s="89">
        <v>34207248</v>
      </c>
      <c r="E5" s="47">
        <v>1435.6606529703881</v>
      </c>
      <c r="G5" s="3">
        <v>49.11</v>
      </c>
      <c r="H5" s="375">
        <f t="shared" si="0"/>
        <v>49110000000</v>
      </c>
      <c r="I5" s="4">
        <f t="shared" si="1"/>
        <v>1435.6606529703881</v>
      </c>
    </row>
    <row r="6" spans="1:9" ht="29.25" customHeight="1" thickTop="1">
      <c r="B6" s="45" t="s">
        <v>182</v>
      </c>
      <c r="C6" s="47">
        <v>56.02</v>
      </c>
      <c r="D6" s="89">
        <v>35095772</v>
      </c>
      <c r="E6" s="47">
        <v>1596.2034406589717</v>
      </c>
      <c r="G6" s="42">
        <v>56.02</v>
      </c>
      <c r="H6" s="375">
        <f t="shared" si="0"/>
        <v>56020000000</v>
      </c>
      <c r="I6" s="4">
        <f t="shared" si="1"/>
        <v>1596.2036680657716</v>
      </c>
    </row>
    <row r="7" spans="1:9" ht="29.25" customHeight="1">
      <c r="B7" s="45" t="s">
        <v>205</v>
      </c>
      <c r="C7" s="47">
        <v>37.25</v>
      </c>
      <c r="D7" s="89">
        <v>36004552</v>
      </c>
      <c r="E7" s="47">
        <v>1034.5913464169005</v>
      </c>
      <c r="G7" s="42">
        <v>37.25</v>
      </c>
      <c r="H7" s="375">
        <f t="shared" si="0"/>
        <v>37250000000</v>
      </c>
      <c r="I7" s="4">
        <f t="shared" si="1"/>
        <v>1034.5914038869307</v>
      </c>
    </row>
    <row r="8" spans="1:9" ht="29.25" customHeight="1" thickBot="1">
      <c r="B8" s="45" t="s">
        <v>211</v>
      </c>
      <c r="C8" s="47">
        <v>35.340000000000003</v>
      </c>
      <c r="D8" s="89">
        <v>35212600</v>
      </c>
      <c r="E8" s="47">
        <v>1003.62</v>
      </c>
      <c r="G8" s="48">
        <v>35.340000000000003</v>
      </c>
      <c r="H8" s="318">
        <f t="shared" ref="H8:H15" si="2">G8*1000000000</f>
        <v>35340000000</v>
      </c>
      <c r="I8" s="4">
        <f t="shared" si="1"/>
        <v>1003.6180230940062</v>
      </c>
    </row>
    <row r="9" spans="1:9" ht="29.25" customHeight="1" thickTop="1" thickBot="1">
      <c r="B9" s="45" t="s">
        <v>281</v>
      </c>
      <c r="C9" s="47">
        <v>54.75</v>
      </c>
      <c r="D9" s="89">
        <v>36169123</v>
      </c>
      <c r="E9" s="47">
        <f>I9</f>
        <v>1513.7220772535734</v>
      </c>
      <c r="G9" s="48">
        <v>54.75</v>
      </c>
      <c r="H9" s="90">
        <f t="shared" si="2"/>
        <v>54750000000</v>
      </c>
      <c r="I9" s="4">
        <f t="shared" si="1"/>
        <v>1513.7220772535734</v>
      </c>
    </row>
    <row r="10" spans="1:9" ht="29.25" customHeight="1" thickTop="1" thickBot="1">
      <c r="B10" s="45" t="s">
        <v>302</v>
      </c>
      <c r="C10" s="47">
        <v>40.69</v>
      </c>
      <c r="D10" s="89">
        <v>37139519</v>
      </c>
      <c r="E10" s="47">
        <f>I10</f>
        <v>1095.5984648051042</v>
      </c>
      <c r="G10" s="48">
        <v>40.69</v>
      </c>
      <c r="H10" s="90">
        <f t="shared" si="2"/>
        <v>40690000000</v>
      </c>
      <c r="I10" s="48">
        <f t="shared" si="1"/>
        <v>1095.5984648051042</v>
      </c>
    </row>
    <row r="11" spans="1:9" ht="29.25" customHeight="1" thickTop="1" thickBot="1">
      <c r="B11" s="45" t="s">
        <v>321</v>
      </c>
      <c r="C11" s="47">
        <v>33.200000000000003</v>
      </c>
      <c r="D11" s="89">
        <v>38124182</v>
      </c>
      <c r="E11" s="47">
        <f>I11</f>
        <v>870.83835661051046</v>
      </c>
      <c r="G11" s="48">
        <v>33.200000000000003</v>
      </c>
      <c r="H11" s="90">
        <f t="shared" si="2"/>
        <v>33200000000.000004</v>
      </c>
      <c r="I11" s="48">
        <f>H11/D11</f>
        <v>870.83835661051046</v>
      </c>
    </row>
    <row r="12" spans="1:9" ht="29.25" customHeight="1" thickTop="1" thickBot="1">
      <c r="B12" s="45" t="s">
        <v>349</v>
      </c>
      <c r="C12" s="47">
        <v>93.51</v>
      </c>
      <c r="D12" s="89">
        <v>39127889</v>
      </c>
      <c r="E12" s="47">
        <v>2389.8426005042102</v>
      </c>
      <c r="G12" s="48">
        <v>93.509495999999999</v>
      </c>
      <c r="H12" s="90">
        <f t="shared" si="2"/>
        <v>93509496000</v>
      </c>
      <c r="I12" s="48">
        <f>H12/D12</f>
        <v>2389.8426005042083</v>
      </c>
    </row>
    <row r="13" spans="1:9" ht="29.25" customHeight="1" thickTop="1" thickBot="1">
      <c r="B13" s="45" t="s">
        <v>372</v>
      </c>
      <c r="C13" s="716">
        <v>49.669199999999996</v>
      </c>
      <c r="D13" s="89">
        <v>40150174</v>
      </c>
      <c r="E13" s="47">
        <v>1237.0855478733417</v>
      </c>
      <c r="G13" s="48">
        <v>49.669199999999996</v>
      </c>
      <c r="H13" s="90">
        <f t="shared" si="2"/>
        <v>49669200000</v>
      </c>
      <c r="I13" s="48">
        <f>H13/D13</f>
        <v>1237.0855478733417</v>
      </c>
    </row>
    <row r="14" spans="1:9" ht="29.25" customHeight="1" thickTop="1" thickBot="1">
      <c r="B14" s="45" t="s">
        <v>391</v>
      </c>
      <c r="C14" s="716">
        <v>31.24</v>
      </c>
      <c r="D14" s="89">
        <v>41190658</v>
      </c>
      <c r="E14" s="47">
        <v>758.42</v>
      </c>
      <c r="G14" s="48">
        <v>31.24</v>
      </c>
      <c r="H14" s="90">
        <f t="shared" si="2"/>
        <v>31240000000</v>
      </c>
      <c r="I14" s="48">
        <f>H14/D14</f>
        <v>758.42439807589381</v>
      </c>
    </row>
    <row r="15" spans="1:9" ht="29.25" customHeight="1" thickTop="1" thickBot="1">
      <c r="B15" s="46" t="s">
        <v>536</v>
      </c>
      <c r="C15" s="48">
        <v>25.5</v>
      </c>
      <c r="D15" s="90">
        <v>42248883</v>
      </c>
      <c r="E15" s="48">
        <v>603.57000000000005</v>
      </c>
      <c r="G15" s="48">
        <v>25.5</v>
      </c>
      <c r="H15" s="90">
        <f t="shared" si="2"/>
        <v>25500000000</v>
      </c>
      <c r="I15" s="48">
        <f>H15/D15</f>
        <v>603.56625286401061</v>
      </c>
    </row>
    <row r="16" spans="1:9" ht="10.5" customHeight="1" thickTop="1" thickBot="1">
      <c r="B16" s="93"/>
      <c r="C16" s="94"/>
      <c r="D16" s="95"/>
      <c r="E16" s="94"/>
      <c r="G16" s="48"/>
      <c r="H16" s="90"/>
      <c r="I16" s="48"/>
    </row>
    <row r="17" spans="2:5" ht="18.75" customHeight="1" thickTop="1">
      <c r="B17" s="1085" t="s">
        <v>591</v>
      </c>
      <c r="C17" s="1085"/>
      <c r="D17" s="1085"/>
      <c r="E17" s="535"/>
    </row>
    <row r="18" spans="2:5" ht="22.5" customHeight="1">
      <c r="B18" s="535"/>
      <c r="C18" s="535"/>
      <c r="D18" s="535"/>
      <c r="E18" s="535"/>
    </row>
    <row r="19" spans="2:5" ht="24" customHeight="1">
      <c r="B19" s="1084" t="s">
        <v>4</v>
      </c>
      <c r="C19" s="1084"/>
      <c r="D19" s="1084"/>
      <c r="E19" s="1084"/>
    </row>
    <row r="20" spans="2:5" ht="24" customHeight="1">
      <c r="B20" s="1070" t="s">
        <v>204</v>
      </c>
      <c r="C20" s="1070"/>
      <c r="D20" s="91"/>
      <c r="E20" s="631">
        <v>22</v>
      </c>
    </row>
    <row r="21" spans="2:5" ht="24" customHeight="1"/>
    <row r="22" spans="2:5" ht="24" customHeight="1"/>
    <row r="23" spans="2:5" ht="24" customHeight="1"/>
    <row r="24" spans="2:5">
      <c r="E24" s="1">
        <f>E13/E12</f>
        <v>0.51764310654280776</v>
      </c>
    </row>
    <row r="25" spans="2:5">
      <c r="E25" s="1">
        <f>E24-1</f>
        <v>-0.48235689345719224</v>
      </c>
    </row>
    <row r="26" spans="2:5">
      <c r="E26" s="1">
        <f>E25*100</f>
        <v>-48.235689345719223</v>
      </c>
    </row>
  </sheetData>
  <mergeCells count="5">
    <mergeCell ref="B20:C20"/>
    <mergeCell ref="B1:E1"/>
    <mergeCell ref="B2:E2"/>
    <mergeCell ref="B19:E19"/>
    <mergeCell ref="B17:D17"/>
  </mergeCells>
  <printOptions horizontalCentered="1"/>
  <pageMargins left="0.45" right="0.45" top="0.5" bottom="0.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Q52"/>
  <sheetViews>
    <sheetView rightToLeft="1" view="pageBreakPreview" topLeftCell="B1" zoomScaleNormal="100" zoomScaleSheetLayoutView="100" workbookViewId="0">
      <pane ySplit="4" topLeftCell="A5" activePane="bottomLeft" state="frozen"/>
      <selection pane="bottomLeft" activeCell="B1" sqref="B1:M1"/>
    </sheetView>
  </sheetViews>
  <sheetFormatPr defaultColWidth="10.42578125" defaultRowHeight="14.25"/>
  <cols>
    <col min="1" max="1" width="1.140625" style="244" customWidth="1"/>
    <col min="2" max="2" width="14" style="244" customWidth="1"/>
    <col min="3" max="5" width="11" style="244" customWidth="1"/>
    <col min="6" max="6" width="0.5703125" style="244" customWidth="1"/>
    <col min="7" max="9" width="11.42578125" style="244" customWidth="1"/>
    <col min="10" max="10" width="1" style="244" customWidth="1"/>
    <col min="11" max="13" width="10.85546875" style="244" customWidth="1"/>
    <col min="14" max="14" width="10.85546875" style="245" customWidth="1"/>
    <col min="15" max="15" width="14.5703125" style="244" bestFit="1" customWidth="1"/>
    <col min="16" max="16" width="12.7109375" style="244" bestFit="1" customWidth="1"/>
    <col min="17" max="17" width="14.7109375" style="244" customWidth="1"/>
    <col min="18" max="16384" width="10.42578125" style="244"/>
  </cols>
  <sheetData>
    <row r="1" spans="2:17" ht="38.25" customHeight="1">
      <c r="B1" s="1168" t="s">
        <v>605</v>
      </c>
      <c r="C1" s="1168"/>
      <c r="D1" s="1168"/>
      <c r="E1" s="1168"/>
      <c r="F1" s="1168"/>
      <c r="G1" s="1168"/>
      <c r="H1" s="1168"/>
      <c r="I1" s="1168"/>
      <c r="J1" s="1168"/>
      <c r="K1" s="1168"/>
      <c r="L1" s="1168"/>
      <c r="M1" s="1168"/>
      <c r="N1" s="609"/>
    </row>
    <row r="2" spans="2:17" ht="24.75" customHeight="1" thickBot="1">
      <c r="B2" s="1169" t="s">
        <v>581</v>
      </c>
      <c r="C2" s="1169"/>
      <c r="D2" s="1169"/>
      <c r="E2" s="1169"/>
      <c r="F2" s="1169"/>
      <c r="G2" s="1169"/>
      <c r="H2" s="1169"/>
      <c r="I2" s="1169"/>
      <c r="J2" s="1169"/>
      <c r="K2" s="1169"/>
      <c r="L2" s="1169"/>
      <c r="M2" s="1169"/>
      <c r="N2" s="650"/>
    </row>
    <row r="3" spans="2:17" ht="31.5" customHeight="1" thickTop="1">
      <c r="B3" s="1170" t="s">
        <v>57</v>
      </c>
      <c r="C3" s="1172" t="s">
        <v>295</v>
      </c>
      <c r="D3" s="1172"/>
      <c r="E3" s="1172"/>
      <c r="F3" s="396"/>
      <c r="G3" s="1172" t="s">
        <v>237</v>
      </c>
      <c r="H3" s="1172"/>
      <c r="I3" s="1172"/>
      <c r="J3" s="396"/>
      <c r="K3" s="1173" t="s">
        <v>326</v>
      </c>
      <c r="L3" s="1173"/>
      <c r="M3" s="1173"/>
      <c r="N3" s="646"/>
    </row>
    <row r="4" spans="2:17" ht="20.25" customHeight="1">
      <c r="B4" s="1171"/>
      <c r="C4" s="243" t="s">
        <v>242</v>
      </c>
      <c r="D4" s="243" t="s">
        <v>73</v>
      </c>
      <c r="E4" s="243" t="s">
        <v>23</v>
      </c>
      <c r="F4" s="665"/>
      <c r="G4" s="243" t="s">
        <v>242</v>
      </c>
      <c r="H4" s="246" t="s">
        <v>73</v>
      </c>
      <c r="I4" s="247" t="s">
        <v>192</v>
      </c>
      <c r="J4" s="665"/>
      <c r="K4" s="243" t="s">
        <v>242</v>
      </c>
      <c r="L4" s="246" t="s">
        <v>73</v>
      </c>
      <c r="M4" s="247" t="s">
        <v>371</v>
      </c>
      <c r="N4" s="647"/>
      <c r="O4" s="244" t="s">
        <v>242</v>
      </c>
      <c r="P4" s="244" t="s">
        <v>73</v>
      </c>
      <c r="Q4" s="244" t="s">
        <v>192</v>
      </c>
    </row>
    <row r="5" spans="2:17" s="507" customFormat="1" ht="23.25" customHeight="1">
      <c r="B5" s="455" t="s">
        <v>58</v>
      </c>
      <c r="C5" s="211">
        <v>1361751</v>
      </c>
      <c r="D5" s="211">
        <v>340437.75</v>
      </c>
      <c r="E5" s="211">
        <v>1702188.75</v>
      </c>
      <c r="F5" s="271"/>
      <c r="G5" s="215">
        <v>2431445</v>
      </c>
      <c r="H5" s="215">
        <v>1301514</v>
      </c>
      <c r="I5" s="215">
        <v>3732959</v>
      </c>
      <c r="J5" s="271"/>
      <c r="K5" s="399">
        <f>O5/G5*1000</f>
        <v>560.05831922992297</v>
      </c>
      <c r="L5" s="399">
        <f>P5/H5*1000</f>
        <v>261.57056320562054</v>
      </c>
      <c r="M5" s="399">
        <f>Q5/I5*1000</f>
        <v>455.98913623214185</v>
      </c>
      <c r="N5" s="651"/>
      <c r="O5" s="215">
        <f>Q5*80/100</f>
        <v>1361751</v>
      </c>
      <c r="P5" s="215">
        <f>Q5*20/100</f>
        <v>340437.75</v>
      </c>
      <c r="Q5" s="354">
        <v>1702188.75</v>
      </c>
    </row>
    <row r="6" spans="2:17" s="249" customFormat="1" ht="23.25" customHeight="1">
      <c r="B6" s="455" t="s">
        <v>59</v>
      </c>
      <c r="C6" s="211">
        <v>526424.45350000006</v>
      </c>
      <c r="D6" s="211">
        <v>65063.696500000005</v>
      </c>
      <c r="E6" s="211">
        <v>591488.15</v>
      </c>
      <c r="F6" s="271"/>
      <c r="G6" s="215">
        <v>1243450</v>
      </c>
      <c r="H6" s="215">
        <v>415683</v>
      </c>
      <c r="I6" s="215">
        <v>1659133</v>
      </c>
      <c r="J6" s="271"/>
      <c r="K6" s="399">
        <f t="shared" ref="K6:L8" si="0">O6/G6*1000</f>
        <v>423.3579585025534</v>
      </c>
      <c r="L6" s="399">
        <f t="shared" si="0"/>
        <v>156.52238965750345</v>
      </c>
      <c r="M6" s="399">
        <f t="shared" ref="M6" si="1">Q6/I6*1000</f>
        <v>356.50436101264938</v>
      </c>
      <c r="N6" s="651"/>
      <c r="O6" s="215">
        <f>Q6*89/100</f>
        <v>526424.45350000006</v>
      </c>
      <c r="P6" s="215">
        <f>Q6*11/100</f>
        <v>65063.696500000005</v>
      </c>
      <c r="Q6" s="354">
        <v>591488.15</v>
      </c>
    </row>
    <row r="7" spans="2:17" s="249" customFormat="1" ht="23.25" customHeight="1">
      <c r="B7" s="576" t="s">
        <v>60</v>
      </c>
      <c r="C7" s="211">
        <v>346982</v>
      </c>
      <c r="D7" s="211">
        <v>148707</v>
      </c>
      <c r="E7" s="211">
        <v>495689</v>
      </c>
      <c r="F7" s="271"/>
      <c r="G7" s="904">
        <v>892693</v>
      </c>
      <c r="H7" s="904">
        <v>737340</v>
      </c>
      <c r="I7" s="904">
        <v>1630033</v>
      </c>
      <c r="J7" s="271"/>
      <c r="K7" s="399">
        <f t="shared" si="0"/>
        <v>388.69129700804194</v>
      </c>
      <c r="L7" s="399">
        <f t="shared" si="0"/>
        <v>201.6803645536659</v>
      </c>
      <c r="M7" s="399">
        <f>Q7/I7*1000</f>
        <v>304.09752440594764</v>
      </c>
      <c r="N7" s="651"/>
      <c r="O7" s="215">
        <v>346982</v>
      </c>
      <c r="P7" s="215">
        <v>148707</v>
      </c>
      <c r="Q7" s="354">
        <v>495689</v>
      </c>
    </row>
    <row r="8" spans="2:17" s="249" customFormat="1" ht="23.25" customHeight="1">
      <c r="B8" s="549" t="s">
        <v>296</v>
      </c>
      <c r="C8" s="211">
        <v>308426.745</v>
      </c>
      <c r="D8" s="211">
        <v>223343.505</v>
      </c>
      <c r="E8" s="211">
        <v>531770.25</v>
      </c>
      <c r="F8" s="271"/>
      <c r="G8" s="215">
        <v>785594</v>
      </c>
      <c r="H8" s="215">
        <v>736016</v>
      </c>
      <c r="I8" s="215">
        <v>1521610</v>
      </c>
      <c r="J8" s="271"/>
      <c r="K8" s="399">
        <f t="shared" si="0"/>
        <v>392.60323398600292</v>
      </c>
      <c r="L8" s="399">
        <f t="shared" si="0"/>
        <v>303.44925246190303</v>
      </c>
      <c r="M8" s="399">
        <f>Q8/I8*1000</f>
        <v>349.4786771906073</v>
      </c>
      <c r="N8" s="651"/>
      <c r="O8" s="215">
        <f>Q8*58/100</f>
        <v>308426.745</v>
      </c>
      <c r="P8" s="215">
        <f>Q8*42/100</f>
        <v>223343.505</v>
      </c>
      <c r="Q8" s="354">
        <v>531770.25</v>
      </c>
    </row>
    <row r="9" spans="2:17" s="249" customFormat="1" ht="24" customHeight="1">
      <c r="B9" s="899" t="s">
        <v>71</v>
      </c>
      <c r="C9" s="211">
        <v>3068050</v>
      </c>
      <c r="D9" s="211">
        <v>0</v>
      </c>
      <c r="E9" s="211">
        <v>3068050</v>
      </c>
      <c r="F9" s="271"/>
      <c r="G9" s="215">
        <v>6641440</v>
      </c>
      <c r="H9" s="215">
        <v>0</v>
      </c>
      <c r="I9" s="215">
        <v>6641440</v>
      </c>
      <c r="J9" s="271"/>
      <c r="K9" s="399">
        <f>O9/G9*1000</f>
        <v>461.95553976246117</v>
      </c>
      <c r="L9" s="399">
        <v>0</v>
      </c>
      <c r="M9" s="399">
        <f>Q9/I9*1000</f>
        <v>461.95553976246117</v>
      </c>
      <c r="N9" s="651"/>
      <c r="O9" s="354">
        <v>3068050</v>
      </c>
      <c r="P9" s="215"/>
      <c r="Q9" s="354">
        <v>3068050</v>
      </c>
    </row>
    <row r="10" spans="2:17" s="443" customFormat="1" ht="23.25" customHeight="1">
      <c r="B10" s="902" t="s">
        <v>62</v>
      </c>
      <c r="C10" s="903">
        <v>403766</v>
      </c>
      <c r="D10" s="903">
        <v>269178</v>
      </c>
      <c r="E10" s="903">
        <v>672944</v>
      </c>
      <c r="F10" s="570"/>
      <c r="G10" s="904">
        <v>1077112</v>
      </c>
      <c r="H10" s="904">
        <v>980056</v>
      </c>
      <c r="I10" s="904">
        <v>2057168</v>
      </c>
      <c r="J10" s="570"/>
      <c r="K10" s="571">
        <f t="shared" ref="K10" si="2">O10/G10*1000</f>
        <v>374.85981030756324</v>
      </c>
      <c r="L10" s="571">
        <f t="shared" ref="L10" si="3">P10/H10*1000</f>
        <v>274.65573395805956</v>
      </c>
      <c r="M10" s="571">
        <f t="shared" ref="M10" si="4">Q10/I10*1000</f>
        <v>327.1215574031873</v>
      </c>
      <c r="N10" s="652"/>
      <c r="O10" s="904">
        <v>403766</v>
      </c>
      <c r="P10" s="904">
        <v>269178</v>
      </c>
      <c r="Q10" s="905">
        <v>672944</v>
      </c>
    </row>
    <row r="11" spans="2:17" s="249" customFormat="1" ht="23.25" customHeight="1">
      <c r="B11" s="577" t="s">
        <v>64</v>
      </c>
      <c r="C11" s="211">
        <v>400065.93</v>
      </c>
      <c r="D11" s="211">
        <v>266710.62</v>
      </c>
      <c r="E11" s="211">
        <v>666776.55000000005</v>
      </c>
      <c r="F11" s="271"/>
      <c r="G11" s="215">
        <v>950071</v>
      </c>
      <c r="H11" s="215">
        <v>769419</v>
      </c>
      <c r="I11" s="215">
        <v>1719490</v>
      </c>
      <c r="J11" s="271"/>
      <c r="K11" s="399">
        <f t="shared" ref="K11:K12" si="5">O11/G11*1000</f>
        <v>421.09056060020777</v>
      </c>
      <c r="L11" s="399">
        <f t="shared" ref="L11:L12" si="6">P11/H11*1000</f>
        <v>346.63898344075204</v>
      </c>
      <c r="M11" s="399">
        <f t="shared" ref="M11:M12" si="7">Q11/I11*1000</f>
        <v>387.77576490703643</v>
      </c>
      <c r="N11" s="651"/>
      <c r="O11" s="215">
        <f>Q11*60/100</f>
        <v>400065.93</v>
      </c>
      <c r="P11" s="215">
        <f>Q11*40/100</f>
        <v>266710.62</v>
      </c>
      <c r="Q11" s="354">
        <v>666776.55000000005</v>
      </c>
    </row>
    <row r="12" spans="2:17" s="249" customFormat="1" ht="23.25" customHeight="1">
      <c r="B12" s="587" t="s">
        <v>56</v>
      </c>
      <c r="C12" s="211">
        <v>264948</v>
      </c>
      <c r="D12" s="211">
        <v>176632</v>
      </c>
      <c r="E12" s="211">
        <v>441580</v>
      </c>
      <c r="F12" s="271"/>
      <c r="G12" s="215">
        <v>875932</v>
      </c>
      <c r="H12" s="215">
        <v>389372</v>
      </c>
      <c r="I12" s="211">
        <v>1265304</v>
      </c>
      <c r="J12" s="271"/>
      <c r="K12" s="399">
        <f t="shared" si="5"/>
        <v>302.47553463054209</v>
      </c>
      <c r="L12" s="399">
        <f t="shared" si="6"/>
        <v>453.63302959637571</v>
      </c>
      <c r="M12" s="399">
        <f t="shared" si="7"/>
        <v>348.9912305659351</v>
      </c>
      <c r="N12" s="651"/>
      <c r="O12" s="215">
        <f>Q12*60/100</f>
        <v>264948</v>
      </c>
      <c r="P12" s="215">
        <f>Q12*40/100</f>
        <v>176632</v>
      </c>
      <c r="Q12" s="354">
        <v>441580</v>
      </c>
    </row>
    <row r="13" spans="2:17" s="248" customFormat="1" ht="23.25" customHeight="1">
      <c r="B13" s="579" t="s">
        <v>63</v>
      </c>
      <c r="C13" s="211">
        <v>223977.88</v>
      </c>
      <c r="D13" s="211">
        <v>95990.52</v>
      </c>
      <c r="E13" s="211">
        <v>319968.40000000002</v>
      </c>
      <c r="F13" s="271"/>
      <c r="G13" s="215">
        <v>910373</v>
      </c>
      <c r="H13" s="215">
        <v>450173</v>
      </c>
      <c r="I13" s="215">
        <v>1360546</v>
      </c>
      <c r="J13" s="271"/>
      <c r="K13" s="399">
        <f t="shared" ref="K13:M14" si="8">O13/G13*1000</f>
        <v>246.02869373322804</v>
      </c>
      <c r="L13" s="399">
        <f t="shared" si="8"/>
        <v>213.23029146572543</v>
      </c>
      <c r="M13" s="399">
        <f t="shared" si="8"/>
        <v>235.17646591882965</v>
      </c>
      <c r="N13" s="651"/>
      <c r="O13" s="215">
        <f>Q13*70/100</f>
        <v>223977.88</v>
      </c>
      <c r="P13" s="215">
        <f>Q13*30/100</f>
        <v>95990.52</v>
      </c>
      <c r="Q13" s="354">
        <v>319968.40000000002</v>
      </c>
    </row>
    <row r="14" spans="2:17" s="248" customFormat="1" ht="23.25" customHeight="1">
      <c r="B14" s="574" t="s">
        <v>61</v>
      </c>
      <c r="C14" s="211">
        <v>206628.09119999997</v>
      </c>
      <c r="D14" s="211">
        <v>97236.748799999987</v>
      </c>
      <c r="E14" s="211">
        <v>303864.83999999997</v>
      </c>
      <c r="G14" s="215">
        <v>693537</v>
      </c>
      <c r="H14" s="215">
        <v>417387</v>
      </c>
      <c r="I14" s="215">
        <v>1110924</v>
      </c>
      <c r="K14" s="399">
        <f t="shared" si="8"/>
        <v>297.93376734045904</v>
      </c>
      <c r="L14" s="399">
        <f t="shared" si="8"/>
        <v>232.96544645616655</v>
      </c>
      <c r="M14" s="399">
        <f t="shared" si="8"/>
        <v>273.52441751190901</v>
      </c>
      <c r="N14" s="651"/>
      <c r="O14" s="215">
        <f>Q14*68/100</f>
        <v>206628.09119999997</v>
      </c>
      <c r="P14" s="215">
        <f>Q14*32/100</f>
        <v>97236.748799999987</v>
      </c>
      <c r="Q14" s="354">
        <v>303864.83999999997</v>
      </c>
    </row>
    <row r="15" spans="2:17" s="248" customFormat="1" ht="23.25" customHeight="1">
      <c r="B15" s="589" t="s">
        <v>65</v>
      </c>
      <c r="C15" s="211">
        <v>418071</v>
      </c>
      <c r="D15" s="211">
        <v>154629</v>
      </c>
      <c r="E15" s="211">
        <v>572700</v>
      </c>
      <c r="F15" s="271"/>
      <c r="G15" s="215">
        <v>1141378</v>
      </c>
      <c r="H15" s="215">
        <v>438168</v>
      </c>
      <c r="I15" s="215">
        <v>1579546</v>
      </c>
      <c r="J15" s="271"/>
      <c r="K15" s="399">
        <f t="shared" ref="K15" si="9">O15/G15*1000</f>
        <v>366.28619090257564</v>
      </c>
      <c r="L15" s="399">
        <f t="shared" ref="L15" si="10">P15/H15*1000</f>
        <v>352.89888809771594</v>
      </c>
      <c r="M15" s="399">
        <f t="shared" ref="M15" si="11">Q15/I15*1000</f>
        <v>362.57253666559888</v>
      </c>
      <c r="N15" s="651"/>
      <c r="O15" s="215">
        <f>Q15*73/100</f>
        <v>418071</v>
      </c>
      <c r="P15" s="215">
        <f>Q15*27/100</f>
        <v>154629</v>
      </c>
      <c r="Q15" s="354">
        <v>572700</v>
      </c>
    </row>
    <row r="16" spans="2:17" s="248" customFormat="1" ht="23.25" customHeight="1">
      <c r="B16" s="567" t="s">
        <v>66</v>
      </c>
      <c r="C16" s="211">
        <v>251285</v>
      </c>
      <c r="D16" s="211">
        <v>147580</v>
      </c>
      <c r="E16" s="211">
        <v>398865</v>
      </c>
      <c r="F16" s="271"/>
      <c r="G16" s="215">
        <v>680279</v>
      </c>
      <c r="H16" s="215">
        <v>391105</v>
      </c>
      <c r="I16" s="215">
        <v>1071384</v>
      </c>
      <c r="J16" s="570"/>
      <c r="K16" s="571">
        <f t="shared" ref="K16:M17" si="12">O16/G16*1000</f>
        <v>369.38520812784162</v>
      </c>
      <c r="L16" s="571">
        <f t="shared" si="12"/>
        <v>377.3411232277777</v>
      </c>
      <c r="M16" s="571">
        <f t="shared" si="12"/>
        <v>372.28948724266928</v>
      </c>
      <c r="N16" s="652"/>
      <c r="O16" s="215">
        <v>251285</v>
      </c>
      <c r="P16" s="215">
        <v>147580</v>
      </c>
      <c r="Q16" s="354">
        <v>398865</v>
      </c>
    </row>
    <row r="17" spans="1:17" s="248" customFormat="1" ht="23.25" customHeight="1">
      <c r="B17" s="548" t="s">
        <v>67</v>
      </c>
      <c r="C17" s="211">
        <v>91587.86</v>
      </c>
      <c r="D17" s="211">
        <v>49316</v>
      </c>
      <c r="E17" s="211">
        <v>140904.4</v>
      </c>
      <c r="F17" s="271"/>
      <c r="G17" s="215">
        <v>368852</v>
      </c>
      <c r="H17" s="215">
        <v>289998</v>
      </c>
      <c r="I17" s="215">
        <v>658850</v>
      </c>
      <c r="J17" s="570"/>
      <c r="K17" s="571">
        <f t="shared" si="12"/>
        <v>248.30517389088308</v>
      </c>
      <c r="L17" s="571">
        <f t="shared" si="12"/>
        <v>170.05634521617392</v>
      </c>
      <c r="M17" s="571">
        <f t="shared" si="12"/>
        <v>213.86415724368214</v>
      </c>
      <c r="N17" s="652"/>
      <c r="O17" s="215">
        <f>Q17*65/100</f>
        <v>91587.86</v>
      </c>
      <c r="P17" s="215">
        <v>49316</v>
      </c>
      <c r="Q17" s="354">
        <v>140904.4</v>
      </c>
    </row>
    <row r="18" spans="1:17" s="248" customFormat="1" ht="23.25" customHeight="1">
      <c r="B18" s="574" t="s">
        <v>68</v>
      </c>
      <c r="C18" s="211">
        <v>329760.86800000002</v>
      </c>
      <c r="D18" s="211">
        <v>72386</v>
      </c>
      <c r="E18" s="211">
        <v>402147.4</v>
      </c>
      <c r="F18" s="271"/>
      <c r="G18" s="215">
        <v>1192240</v>
      </c>
      <c r="H18" s="215">
        <v>182941</v>
      </c>
      <c r="I18" s="215">
        <v>1375181</v>
      </c>
      <c r="J18" s="271"/>
      <c r="K18" s="399">
        <f t="shared" ref="K18" si="13">O18/G18*1000</f>
        <v>276.58933436220894</v>
      </c>
      <c r="L18" s="399">
        <f t="shared" ref="L18" si="14">P18/H18*1000</f>
        <v>395.67948136284377</v>
      </c>
      <c r="M18" s="399">
        <f t="shared" ref="M18" si="15">Q18/I18*1000</f>
        <v>292.43234163357408</v>
      </c>
      <c r="N18" s="651"/>
      <c r="O18" s="215">
        <f>Q18*82/100</f>
        <v>329760.86800000002</v>
      </c>
      <c r="P18" s="215">
        <v>72386</v>
      </c>
      <c r="Q18" s="354">
        <v>402147.4</v>
      </c>
    </row>
    <row r="19" spans="1:17" s="248" customFormat="1" ht="23.25" customHeight="1">
      <c r="B19" s="578" t="s">
        <v>69</v>
      </c>
      <c r="C19" s="211">
        <v>432086.46</v>
      </c>
      <c r="D19" s="211">
        <v>232661.94</v>
      </c>
      <c r="E19" s="211">
        <v>664748.4</v>
      </c>
      <c r="F19" s="271"/>
      <c r="G19" s="215">
        <v>819694</v>
      </c>
      <c r="H19" s="215">
        <v>273940</v>
      </c>
      <c r="I19" s="215">
        <v>1093634</v>
      </c>
      <c r="J19" s="271"/>
      <c r="K19" s="399">
        <f t="shared" ref="K19:M20" si="16">O19/G19*1000</f>
        <v>527.13141733378552</v>
      </c>
      <c r="L19" s="399">
        <f t="shared" si="16"/>
        <v>849.31714974081922</v>
      </c>
      <c r="M19" s="399">
        <f t="shared" si="16"/>
        <v>607.83443089735692</v>
      </c>
      <c r="N19" s="651"/>
      <c r="O19" s="215">
        <f>Q19*65/100</f>
        <v>432086.46</v>
      </c>
      <c r="P19" s="215">
        <f>Q19*35/100</f>
        <v>232661.94</v>
      </c>
      <c r="Q19" s="354">
        <v>664748.4</v>
      </c>
    </row>
    <row r="20" spans="1:17" s="248" customFormat="1" ht="23.25" customHeight="1" thickBot="1">
      <c r="A20" s="477"/>
      <c r="B20" s="216" t="s">
        <v>70</v>
      </c>
      <c r="C20" s="211">
        <v>1159300.6574000001</v>
      </c>
      <c r="D20" s="211">
        <v>237447.1226</v>
      </c>
      <c r="E20" s="211">
        <v>1396747.78</v>
      </c>
      <c r="F20" s="271"/>
      <c r="G20" s="215">
        <v>2355915</v>
      </c>
      <c r="H20" s="215">
        <v>514654</v>
      </c>
      <c r="I20" s="215">
        <v>2870569</v>
      </c>
      <c r="J20" s="271"/>
      <c r="K20" s="399">
        <f t="shared" si="16"/>
        <v>492.08085070980923</v>
      </c>
      <c r="L20" s="399">
        <f t="shared" si="16"/>
        <v>461.37234452661403</v>
      </c>
      <c r="M20" s="399">
        <f t="shared" si="16"/>
        <v>486.57523299387685</v>
      </c>
      <c r="N20" s="651"/>
      <c r="O20" s="215">
        <f>Q20*83/100</f>
        <v>1159300.6574000001</v>
      </c>
      <c r="P20" s="215">
        <f>Q20*17/100</f>
        <v>237447.1226</v>
      </c>
      <c r="Q20" s="354">
        <v>1396747.78</v>
      </c>
    </row>
    <row r="21" spans="1:17" s="206" customFormat="1" ht="23.25" customHeight="1" thickTop="1" thickBot="1">
      <c r="B21" s="222" t="s">
        <v>280</v>
      </c>
      <c r="C21" s="225">
        <f>SUM(C5:C20)</f>
        <v>9793111.9451000001</v>
      </c>
      <c r="D21" s="225">
        <f>SUM(D5:D20)</f>
        <v>2577319.9029000001</v>
      </c>
      <c r="E21" s="225">
        <f>SUM(E5:E20)</f>
        <v>12370432.92</v>
      </c>
      <c r="F21" s="225"/>
      <c r="G21" s="225">
        <f>SUM(G5:G20)</f>
        <v>23060005</v>
      </c>
      <c r="H21" s="225">
        <f>SUM(H5:H20)</f>
        <v>8287766</v>
      </c>
      <c r="I21" s="225">
        <f>SUM(I5:I20)</f>
        <v>31347771</v>
      </c>
      <c r="J21" s="225"/>
      <c r="K21" s="305">
        <f>O21/G21*1000</f>
        <v>424.67952392464792</v>
      </c>
      <c r="L21" s="305">
        <f t="shared" ref="L21" si="17">P21/H21*1000</f>
        <v>310.97884555379579</v>
      </c>
      <c r="M21" s="305">
        <f t="shared" ref="M21" si="18">Q21/I21*1000</f>
        <v>394.61918514078724</v>
      </c>
      <c r="N21" s="648"/>
      <c r="O21" s="225">
        <f>SUM(O5:O20)</f>
        <v>9793111.9451000001</v>
      </c>
      <c r="P21" s="225">
        <f>SUM(P5:P20)</f>
        <v>2577319.9029000001</v>
      </c>
      <c r="Q21" s="225">
        <f>SUM(O21:P21)</f>
        <v>12370431.848000001</v>
      </c>
    </row>
    <row r="22" spans="1:17" s="206" customFormat="1" ht="20.25" customHeight="1" thickTop="1">
      <c r="B22" s="1161" t="s">
        <v>239</v>
      </c>
      <c r="C22" s="1161"/>
      <c r="D22" s="1161"/>
      <c r="E22" s="1161"/>
      <c r="F22" s="1161"/>
      <c r="G22" s="1161"/>
      <c r="H22" s="1161"/>
      <c r="I22" s="1161"/>
      <c r="J22" s="395"/>
      <c r="K22" s="221"/>
      <c r="L22" s="221"/>
      <c r="M22" s="221"/>
      <c r="N22" s="221"/>
      <c r="O22" s="645"/>
      <c r="P22" s="645"/>
      <c r="Q22" s="645"/>
    </row>
    <row r="23" spans="1:17" s="206" customFormat="1" ht="15" customHeight="1">
      <c r="B23" s="1135" t="s">
        <v>509</v>
      </c>
      <c r="C23" s="1135"/>
      <c r="D23" s="1135"/>
      <c r="E23" s="1135"/>
      <c r="F23" s="1135"/>
      <c r="G23" s="1135"/>
      <c r="H23" s="1135"/>
      <c r="I23" s="1135"/>
      <c r="J23" s="1135"/>
      <c r="K23" s="1135"/>
      <c r="L23" s="1135"/>
      <c r="M23" s="1135"/>
      <c r="N23" s="608"/>
      <c r="O23" s="348"/>
      <c r="P23" s="348"/>
      <c r="Q23" s="348"/>
    </row>
    <row r="24" spans="1:17" s="206" customFormat="1" ht="20.25" customHeight="1">
      <c r="B24" s="1138" t="s">
        <v>292</v>
      </c>
      <c r="C24" s="1138"/>
      <c r="D24" s="1138"/>
      <c r="E24" s="1138"/>
      <c r="F24" s="1138"/>
      <c r="G24" s="1138"/>
      <c r="H24" s="1138"/>
      <c r="I24" s="1138"/>
      <c r="J24" s="1138"/>
      <c r="K24" s="1138"/>
      <c r="L24" s="1138"/>
      <c r="M24" s="1138"/>
      <c r="N24" s="607"/>
      <c r="O24" s="349"/>
      <c r="P24" s="349"/>
      <c r="Q24" s="349"/>
    </row>
    <row r="25" spans="1:17" s="206" customFormat="1" ht="11.25" customHeight="1">
      <c r="B25" s="633"/>
      <c r="C25" s="633"/>
      <c r="D25" s="633"/>
      <c r="E25" s="633"/>
      <c r="F25" s="633"/>
      <c r="G25" s="633"/>
      <c r="H25" s="633"/>
      <c r="I25" s="633"/>
      <c r="J25" s="633"/>
      <c r="K25" s="633"/>
      <c r="L25" s="633"/>
      <c r="M25" s="633"/>
      <c r="N25" s="633"/>
      <c r="O25" s="349"/>
      <c r="P25" s="349"/>
      <c r="Q25" s="349"/>
    </row>
    <row r="26" spans="1:17" ht="21" customHeight="1" thickBot="1">
      <c r="B26" s="1132" t="s">
        <v>228</v>
      </c>
      <c r="C26" s="1132"/>
      <c r="D26" s="1132"/>
      <c r="E26" s="1132"/>
      <c r="F26" s="1132"/>
      <c r="G26" s="1132"/>
      <c r="H26" s="1132"/>
      <c r="I26" s="1132"/>
      <c r="J26" s="821"/>
      <c r="K26" s="821"/>
      <c r="L26" s="821"/>
      <c r="M26" s="822">
        <v>40</v>
      </c>
      <c r="N26" s="649"/>
      <c r="O26" s="351"/>
      <c r="P26" s="352"/>
      <c r="Q26" s="345"/>
    </row>
    <row r="27" spans="1:17" ht="15.75" thickTop="1" thickBot="1">
      <c r="H27" s="225"/>
      <c r="I27" s="225"/>
      <c r="J27" s="225"/>
      <c r="O27" s="245"/>
    </row>
    <row r="28" spans="1:17" ht="15" thickTop="1">
      <c r="O28" s="245"/>
    </row>
    <row r="29" spans="1:17">
      <c r="O29" s="245"/>
    </row>
    <row r="30" spans="1:17">
      <c r="L30" s="359"/>
      <c r="O30" s="245">
        <v>1058558.44</v>
      </c>
      <c r="P30" s="244">
        <v>336989.13</v>
      </c>
      <c r="Q30" s="244">
        <v>1395547.5699999998</v>
      </c>
    </row>
    <row r="31" spans="1:17">
      <c r="O31" s="245">
        <v>784734</v>
      </c>
      <c r="P31" s="244">
        <v>640064.31999999995</v>
      </c>
      <c r="Q31" s="244">
        <v>1424798.3199999998</v>
      </c>
    </row>
    <row r="32" spans="1:17">
      <c r="O32" s="245">
        <v>0</v>
      </c>
      <c r="P32" s="244">
        <v>0</v>
      </c>
      <c r="Q32" s="244">
        <v>2820345.8899999997</v>
      </c>
    </row>
    <row r="33" spans="15:17">
      <c r="O33" s="245">
        <v>5838251</v>
      </c>
      <c r="P33" s="244">
        <v>0</v>
      </c>
      <c r="Q33" s="244">
        <v>5838251</v>
      </c>
    </row>
    <row r="34" spans="15:17">
      <c r="O34" s="245">
        <v>653000.4</v>
      </c>
      <c r="P34" s="244">
        <v>396104.8</v>
      </c>
      <c r="Q34" s="244">
        <v>1049105.2</v>
      </c>
    </row>
    <row r="35" spans="15:17">
      <c r="O35" s="245">
        <v>776909.6</v>
      </c>
      <c r="P35" s="244">
        <v>593124.32999999996</v>
      </c>
      <c r="Q35" s="244">
        <v>6887356.2000000002</v>
      </c>
    </row>
    <row r="36" spans="15:17">
      <c r="O36" s="245">
        <v>762063.35999999999</v>
      </c>
      <c r="P36" s="244">
        <v>338348.94</v>
      </c>
      <c r="Q36" s="244">
        <v>1100412.3</v>
      </c>
    </row>
    <row r="37" spans="15:17">
      <c r="O37" s="245">
        <v>727523.1</v>
      </c>
      <c r="P37" s="244">
        <v>347597.9</v>
      </c>
      <c r="Q37" s="244">
        <v>1075121</v>
      </c>
    </row>
    <row r="38" spans="15:17">
      <c r="O38" s="245">
        <v>504547.2</v>
      </c>
      <c r="P38" s="244">
        <v>477835.12</v>
      </c>
      <c r="Q38" s="244">
        <v>2175533.2999999998</v>
      </c>
    </row>
    <row r="39" spans="15:17">
      <c r="O39" s="245">
        <v>1003341.64</v>
      </c>
      <c r="P39" s="244">
        <v>336007.3</v>
      </c>
      <c r="Q39" s="244">
        <v>1339348.94</v>
      </c>
    </row>
    <row r="40" spans="15:17">
      <c r="O40" s="245">
        <v>583596.9</v>
      </c>
      <c r="P40" s="244">
        <v>333063.38</v>
      </c>
      <c r="Q40" s="244">
        <v>916660.28</v>
      </c>
    </row>
    <row r="41" spans="15:17">
      <c r="O41" s="245">
        <v>320657.21000000002</v>
      </c>
      <c r="P41" s="244">
        <v>285815.64</v>
      </c>
      <c r="Q41" s="244">
        <v>2256009.2199999997</v>
      </c>
    </row>
    <row r="42" spans="15:17">
      <c r="O42" s="245">
        <v>0</v>
      </c>
      <c r="P42" s="244">
        <v>0</v>
      </c>
      <c r="Q42" s="244">
        <v>0</v>
      </c>
    </row>
    <row r="43" spans="15:17">
      <c r="O43" s="245">
        <v>736577.76</v>
      </c>
      <c r="P43" s="244">
        <v>249311.92</v>
      </c>
      <c r="Q43" s="244">
        <v>985889.68</v>
      </c>
    </row>
    <row r="44" spans="15:17">
      <c r="O44" s="245">
        <v>2070999.9</v>
      </c>
      <c r="P44" s="244">
        <v>479037.6</v>
      </c>
      <c r="Q44" s="244">
        <v>985889.68</v>
      </c>
    </row>
    <row r="45" spans="15:17">
      <c r="O45" s="245">
        <v>15820760.51</v>
      </c>
      <c r="P45" s="244">
        <v>4813300.38</v>
      </c>
      <c r="Q45" s="244">
        <v>20634060.890000001</v>
      </c>
    </row>
    <row r="46" spans="15:17">
      <c r="O46" s="245"/>
    </row>
    <row r="47" spans="15:17">
      <c r="O47" s="245"/>
    </row>
    <row r="48" spans="15:17">
      <c r="O48" s="245"/>
    </row>
    <row r="49" spans="15:15">
      <c r="O49" s="245"/>
    </row>
    <row r="50" spans="15:15">
      <c r="O50" s="245"/>
    </row>
    <row r="51" spans="15:15">
      <c r="O51" s="245"/>
    </row>
    <row r="52" spans="15:15">
      <c r="O52" s="245"/>
    </row>
  </sheetData>
  <mergeCells count="10">
    <mergeCell ref="B1:M1"/>
    <mergeCell ref="B22:I22"/>
    <mergeCell ref="B23:M23"/>
    <mergeCell ref="B24:M24"/>
    <mergeCell ref="B26:I26"/>
    <mergeCell ref="C3:E3"/>
    <mergeCell ref="B2:M2"/>
    <mergeCell ref="B3:B4"/>
    <mergeCell ref="G3:I3"/>
    <mergeCell ref="K3:M3"/>
  </mergeCells>
  <printOptions horizontalCentered="1"/>
  <pageMargins left="0.45" right="0.45" top="0.5" bottom="0.5" header="0.3" footer="0.3"/>
  <pageSetup paperSize="9" scale="9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N26"/>
  <sheetViews>
    <sheetView rightToLeft="1" view="pageBreakPreview" zoomScaleSheetLayoutView="100" workbookViewId="0">
      <pane ySplit="4" topLeftCell="A5" activePane="bottomLeft" state="frozen"/>
      <selection pane="bottomLeft" activeCell="H26" sqref="H26"/>
    </sheetView>
  </sheetViews>
  <sheetFormatPr defaultColWidth="10.42578125" defaultRowHeight="14.25"/>
  <cols>
    <col min="1" max="1" width="18.42578125" style="244" customWidth="1"/>
    <col min="2" max="4" width="16.85546875" style="244" customWidth="1"/>
    <col min="5" max="5" width="1.42578125" style="244" customWidth="1"/>
    <col min="6" max="8" width="16.85546875" style="244" customWidth="1"/>
    <col min="9" max="9" width="10.42578125" style="245"/>
    <col min="10" max="16384" width="10.42578125" style="244"/>
  </cols>
  <sheetData>
    <row r="1" spans="1:9" ht="22.5" customHeight="1">
      <c r="A1" s="1168" t="s">
        <v>524</v>
      </c>
      <c r="B1" s="1168"/>
      <c r="C1" s="1168"/>
      <c r="D1" s="1168"/>
      <c r="E1" s="1168"/>
      <c r="F1" s="1168"/>
      <c r="G1" s="1168"/>
      <c r="H1" s="1168"/>
    </row>
    <row r="2" spans="1:9" ht="21.75" customHeight="1" thickBot="1">
      <c r="A2" s="1169" t="s">
        <v>580</v>
      </c>
      <c r="B2" s="1169"/>
      <c r="C2" s="1169"/>
      <c r="D2" s="1169"/>
      <c r="E2" s="1169"/>
      <c r="F2" s="1169"/>
      <c r="G2" s="1169"/>
      <c r="H2" s="1169"/>
    </row>
    <row r="3" spans="1:9" ht="26.25" customHeight="1" thickTop="1">
      <c r="A3" s="1170" t="s">
        <v>57</v>
      </c>
      <c r="B3" s="1166" t="s">
        <v>5</v>
      </c>
      <c r="C3" s="1166"/>
      <c r="D3" s="1166"/>
      <c r="E3" s="1172"/>
      <c r="F3" s="1172" t="s">
        <v>261</v>
      </c>
      <c r="G3" s="1172"/>
      <c r="H3" s="1172"/>
    </row>
    <row r="4" spans="1:9" ht="27.75" customHeight="1">
      <c r="A4" s="1171"/>
      <c r="B4" s="243" t="s">
        <v>242</v>
      </c>
      <c r="C4" s="243" t="s">
        <v>73</v>
      </c>
      <c r="D4" s="243" t="s">
        <v>23</v>
      </c>
      <c r="E4" s="1174"/>
      <c r="F4" s="243" t="s">
        <v>242</v>
      </c>
      <c r="G4" s="243" t="s">
        <v>73</v>
      </c>
      <c r="H4" s="243" t="s">
        <v>23</v>
      </c>
    </row>
    <row r="5" spans="1:9" s="507" customFormat="1" ht="21.75" customHeight="1">
      <c r="A5" s="455" t="s">
        <v>58</v>
      </c>
      <c r="B5" s="211">
        <v>2506644</v>
      </c>
      <c r="C5" s="211">
        <v>1626892</v>
      </c>
      <c r="D5" s="211">
        <v>4133536</v>
      </c>
      <c r="E5" s="215"/>
      <c r="F5" s="270">
        <f t="shared" ref="F5:F19" si="0">B5*350/1000</f>
        <v>877325.4</v>
      </c>
      <c r="G5" s="270">
        <f t="shared" ref="G5:G19" si="1">C5*250/1000</f>
        <v>406723</v>
      </c>
      <c r="H5" s="556">
        <f>SUM(F5:G5)</f>
        <v>1284048.3999999999</v>
      </c>
      <c r="I5" s="653"/>
    </row>
    <row r="6" spans="1:9" s="434" customFormat="1" ht="21.75" customHeight="1">
      <c r="A6" s="583" t="s">
        <v>59</v>
      </c>
      <c r="B6" s="211">
        <v>1308895</v>
      </c>
      <c r="C6" s="211">
        <v>461870</v>
      </c>
      <c r="D6" s="211">
        <v>1770765</v>
      </c>
      <c r="E6" s="215"/>
      <c r="F6" s="270">
        <f t="shared" si="0"/>
        <v>458113.25</v>
      </c>
      <c r="G6" s="270">
        <f t="shared" si="1"/>
        <v>115467.5</v>
      </c>
      <c r="H6" s="271">
        <f t="shared" ref="H6:H12" si="2">SUM(F6:G6)</f>
        <v>573580.75</v>
      </c>
      <c r="I6" s="356"/>
    </row>
    <row r="7" spans="1:9" s="249" customFormat="1" ht="21.75" customHeight="1">
      <c r="A7" s="576" t="s">
        <v>60</v>
      </c>
      <c r="B7" s="211">
        <v>892693</v>
      </c>
      <c r="C7" s="211">
        <v>921675</v>
      </c>
      <c r="D7" s="211">
        <v>1814368</v>
      </c>
      <c r="E7" s="215"/>
      <c r="F7" s="270">
        <f t="shared" si="0"/>
        <v>312442.55</v>
      </c>
      <c r="G7" s="270">
        <f t="shared" si="1"/>
        <v>230418.75</v>
      </c>
      <c r="H7" s="556">
        <v>542862</v>
      </c>
      <c r="I7" s="355"/>
    </row>
    <row r="8" spans="1:9" s="249" customFormat="1" ht="21.75" customHeight="1">
      <c r="A8" s="549" t="s">
        <v>296</v>
      </c>
      <c r="B8" s="211">
        <v>981992</v>
      </c>
      <c r="C8" s="211">
        <v>981354</v>
      </c>
      <c r="D8" s="211">
        <v>1963346</v>
      </c>
      <c r="E8" s="215"/>
      <c r="F8" s="270">
        <f t="shared" si="0"/>
        <v>343697.2</v>
      </c>
      <c r="G8" s="270">
        <f t="shared" si="1"/>
        <v>245338.5</v>
      </c>
      <c r="H8" s="556">
        <f t="shared" si="2"/>
        <v>589035.69999999995</v>
      </c>
      <c r="I8" s="355"/>
    </row>
    <row r="9" spans="1:9" s="249" customFormat="1" ht="21.75" customHeight="1">
      <c r="A9" s="899" t="s">
        <v>71</v>
      </c>
      <c r="B9" s="211">
        <v>6641440</v>
      </c>
      <c r="C9" s="211">
        <v>0</v>
      </c>
      <c r="D9" s="211">
        <v>6641440</v>
      </c>
      <c r="E9" s="215"/>
      <c r="F9" s="270">
        <f t="shared" si="0"/>
        <v>2324504</v>
      </c>
      <c r="G9" s="270">
        <f t="shared" si="1"/>
        <v>0</v>
      </c>
      <c r="H9" s="271">
        <f t="shared" si="2"/>
        <v>2324504</v>
      </c>
      <c r="I9" s="355"/>
    </row>
    <row r="10" spans="1:9" s="249" customFormat="1" ht="21.75" customHeight="1">
      <c r="A10" s="573" t="s">
        <v>62</v>
      </c>
      <c r="B10" s="211">
        <v>1238060</v>
      </c>
      <c r="C10" s="211">
        <v>1126501</v>
      </c>
      <c r="D10" s="211">
        <v>2364561</v>
      </c>
      <c r="E10" s="215"/>
      <c r="F10" s="270">
        <f t="shared" si="0"/>
        <v>433321</v>
      </c>
      <c r="G10" s="270">
        <f t="shared" si="1"/>
        <v>281625.25</v>
      </c>
      <c r="H10" s="271">
        <f t="shared" si="2"/>
        <v>714946.25</v>
      </c>
      <c r="I10" s="355"/>
    </row>
    <row r="11" spans="1:9" s="249" customFormat="1" ht="21.75" customHeight="1">
      <c r="A11" s="577" t="s">
        <v>64</v>
      </c>
      <c r="B11" s="211">
        <v>1104734</v>
      </c>
      <c r="C11" s="211">
        <v>1183722</v>
      </c>
      <c r="D11" s="211">
        <v>2288456</v>
      </c>
      <c r="E11" s="215"/>
      <c r="F11" s="270">
        <f t="shared" si="0"/>
        <v>386656.9</v>
      </c>
      <c r="G11" s="270">
        <f t="shared" si="1"/>
        <v>295930.5</v>
      </c>
      <c r="H11" s="271">
        <v>682588</v>
      </c>
      <c r="I11" s="355"/>
    </row>
    <row r="12" spans="1:9" s="249" customFormat="1" ht="21.75" customHeight="1">
      <c r="A12" s="588" t="s">
        <v>56</v>
      </c>
      <c r="B12" s="211">
        <v>903023</v>
      </c>
      <c r="C12" s="211">
        <v>447554</v>
      </c>
      <c r="D12" s="211">
        <v>1350577</v>
      </c>
      <c r="E12" s="211"/>
      <c r="F12" s="270">
        <f t="shared" si="0"/>
        <v>316058.05</v>
      </c>
      <c r="G12" s="270">
        <f t="shared" si="1"/>
        <v>111888.5</v>
      </c>
      <c r="H12" s="271">
        <f t="shared" si="2"/>
        <v>427946.55</v>
      </c>
      <c r="I12" s="355"/>
    </row>
    <row r="13" spans="1:9" s="248" customFormat="1" ht="21.75" customHeight="1">
      <c r="A13" s="579" t="s">
        <v>63</v>
      </c>
      <c r="B13" s="211">
        <v>919569</v>
      </c>
      <c r="C13" s="211">
        <v>608342</v>
      </c>
      <c r="D13" s="211">
        <v>1527911</v>
      </c>
      <c r="E13" s="215"/>
      <c r="F13" s="270">
        <f t="shared" si="0"/>
        <v>321849.15000000002</v>
      </c>
      <c r="G13" s="270">
        <f t="shared" si="1"/>
        <v>152085.5</v>
      </c>
      <c r="H13" s="556">
        <f>SUM(F13:G13)</f>
        <v>473934.65</v>
      </c>
      <c r="I13" s="355"/>
    </row>
    <row r="14" spans="1:9" s="248" customFormat="1" ht="21.75" customHeight="1">
      <c r="A14" s="574" t="s">
        <v>61</v>
      </c>
      <c r="B14" s="211">
        <v>797169</v>
      </c>
      <c r="C14" s="211">
        <v>970668</v>
      </c>
      <c r="D14" s="211">
        <v>1767837</v>
      </c>
      <c r="E14" s="215"/>
      <c r="F14" s="270">
        <f t="shared" si="0"/>
        <v>279009.15000000002</v>
      </c>
      <c r="G14" s="270">
        <f t="shared" si="1"/>
        <v>242667</v>
      </c>
      <c r="H14" s="271">
        <f t="shared" ref="H14:H20" si="3">SUM(F14:G14)</f>
        <v>521676.15</v>
      </c>
      <c r="I14" s="355"/>
    </row>
    <row r="15" spans="1:9" s="248" customFormat="1" ht="21.75" customHeight="1">
      <c r="A15" s="589" t="s">
        <v>65</v>
      </c>
      <c r="B15" s="211">
        <v>1164671</v>
      </c>
      <c r="C15" s="211">
        <v>466136</v>
      </c>
      <c r="D15" s="211">
        <v>1630807</v>
      </c>
      <c r="E15" s="215"/>
      <c r="F15" s="270">
        <f t="shared" si="0"/>
        <v>407634.85</v>
      </c>
      <c r="G15" s="270">
        <f t="shared" si="1"/>
        <v>116534</v>
      </c>
      <c r="H15" s="271">
        <f t="shared" si="3"/>
        <v>524168.85</v>
      </c>
      <c r="I15" s="355"/>
    </row>
    <row r="16" spans="1:9" s="248" customFormat="1" ht="21.75" customHeight="1">
      <c r="A16" s="567" t="s">
        <v>66</v>
      </c>
      <c r="B16" s="211">
        <v>819613</v>
      </c>
      <c r="C16" s="211">
        <v>611101</v>
      </c>
      <c r="D16" s="211">
        <v>1430714</v>
      </c>
      <c r="E16" s="215"/>
      <c r="F16" s="270">
        <f t="shared" si="0"/>
        <v>286864.55</v>
      </c>
      <c r="G16" s="270">
        <f t="shared" si="1"/>
        <v>152775.25</v>
      </c>
      <c r="H16" s="271">
        <f t="shared" si="3"/>
        <v>439639.8</v>
      </c>
      <c r="I16" s="355"/>
    </row>
    <row r="17" spans="1:14" s="248" customFormat="1" ht="21.75" customHeight="1">
      <c r="A17" s="548" t="s">
        <v>67</v>
      </c>
      <c r="B17" s="211">
        <v>419150</v>
      </c>
      <c r="C17" s="211">
        <v>483330</v>
      </c>
      <c r="D17" s="211">
        <v>902480</v>
      </c>
      <c r="E17" s="215"/>
      <c r="F17" s="270">
        <f t="shared" si="0"/>
        <v>146702.5</v>
      </c>
      <c r="G17" s="270">
        <f t="shared" si="1"/>
        <v>120832.5</v>
      </c>
      <c r="H17" s="271">
        <v>267536</v>
      </c>
      <c r="I17" s="355"/>
    </row>
    <row r="18" spans="1:14" s="248" customFormat="1" ht="21.75" customHeight="1">
      <c r="A18" s="574" t="s">
        <v>68</v>
      </c>
      <c r="B18" s="211">
        <v>1490300</v>
      </c>
      <c r="C18" s="211">
        <v>831551</v>
      </c>
      <c r="D18" s="211">
        <v>2321851</v>
      </c>
      <c r="E18" s="215"/>
      <c r="F18" s="270">
        <f t="shared" si="0"/>
        <v>521605</v>
      </c>
      <c r="G18" s="270">
        <f t="shared" si="1"/>
        <v>207887.75</v>
      </c>
      <c r="H18" s="271">
        <f t="shared" si="3"/>
        <v>729492.75</v>
      </c>
      <c r="I18" s="355"/>
    </row>
    <row r="19" spans="1:14" s="248" customFormat="1" ht="21.75" customHeight="1">
      <c r="A19" s="578" t="s">
        <v>69</v>
      </c>
      <c r="B19" s="211">
        <v>910771</v>
      </c>
      <c r="C19" s="211">
        <v>322282</v>
      </c>
      <c r="D19" s="211">
        <v>1233053</v>
      </c>
      <c r="E19" s="215"/>
      <c r="F19" s="270">
        <f t="shared" si="0"/>
        <v>318769.84999999998</v>
      </c>
      <c r="G19" s="270">
        <f t="shared" si="1"/>
        <v>80570.5</v>
      </c>
      <c r="H19" s="271">
        <v>399341</v>
      </c>
      <c r="I19" s="355"/>
    </row>
    <row r="20" spans="1:14" s="248" customFormat="1" ht="21.75" customHeight="1" thickBot="1">
      <c r="A20" s="216" t="s">
        <v>70</v>
      </c>
      <c r="B20" s="211">
        <v>2617683</v>
      </c>
      <c r="C20" s="211">
        <v>605475</v>
      </c>
      <c r="D20" s="211">
        <v>3223158</v>
      </c>
      <c r="E20" s="211"/>
      <c r="F20" s="270">
        <f t="shared" ref="F20" si="4">B20*350/1000</f>
        <v>916189.05</v>
      </c>
      <c r="G20" s="270">
        <f t="shared" ref="G20" si="5">C20*250/1000</f>
        <v>151368.75</v>
      </c>
      <c r="H20" s="271">
        <f t="shared" si="3"/>
        <v>1067557.8</v>
      </c>
      <c r="I20" s="355"/>
    </row>
    <row r="21" spans="1:14" s="206" customFormat="1" ht="21.75" customHeight="1" thickTop="1" thickBot="1">
      <c r="A21" s="222" t="s">
        <v>280</v>
      </c>
      <c r="B21" s="225">
        <f>SUM(B5:B20)</f>
        <v>24716407</v>
      </c>
      <c r="C21" s="225">
        <f>SUM(C5:C20)</f>
        <v>11648453</v>
      </c>
      <c r="D21" s="225">
        <f>SUM(D5:D20)</f>
        <v>36364860</v>
      </c>
      <c r="E21" s="225"/>
      <c r="F21" s="225">
        <f>ROUND(B21*0.35,0)</f>
        <v>8650742</v>
      </c>
      <c r="G21" s="225">
        <f>ROUND(C21*0.25,0)</f>
        <v>2912113</v>
      </c>
      <c r="H21" s="225">
        <f>SUM(F21:G21)</f>
        <v>11562855</v>
      </c>
      <c r="I21" s="208"/>
      <c r="J21" s="384"/>
      <c r="K21" s="384"/>
    </row>
    <row r="22" spans="1:14" s="206" customFormat="1" ht="16.5" customHeight="1" thickTop="1">
      <c r="A22" s="1161" t="s">
        <v>239</v>
      </c>
      <c r="B22" s="1161"/>
      <c r="C22" s="1161"/>
      <c r="D22" s="1161"/>
      <c r="E22" s="1161"/>
      <c r="F22" s="1161"/>
      <c r="G22" s="1161"/>
      <c r="H22" s="1161"/>
      <c r="I22" s="208"/>
    </row>
    <row r="23" spans="1:14" s="206" customFormat="1" ht="24" customHeight="1">
      <c r="A23" s="1161" t="s">
        <v>606</v>
      </c>
      <c r="B23" s="1161"/>
      <c r="C23" s="1161"/>
      <c r="D23" s="1161"/>
      <c r="E23" s="1161"/>
      <c r="F23" s="1161"/>
      <c r="G23" s="638"/>
      <c r="H23" s="638"/>
      <c r="I23" s="208"/>
    </row>
    <row r="24" spans="1:14" s="206" customFormat="1" ht="6.75" customHeight="1">
      <c r="A24" s="1175"/>
      <c r="B24" s="1175"/>
      <c r="C24" s="1175"/>
      <c r="D24" s="1175"/>
      <c r="E24" s="1175"/>
      <c r="F24" s="464"/>
      <c r="G24" s="464"/>
      <c r="H24" s="7"/>
      <c r="I24" s="12"/>
      <c r="J24"/>
      <c r="K24" s="217"/>
      <c r="L24" s="209"/>
      <c r="M24" s="208"/>
      <c r="N24" s="208"/>
    </row>
    <row r="25" spans="1:14" s="206" customFormat="1" ht="9.75" customHeight="1">
      <c r="A25" s="218"/>
      <c r="B25" s="226"/>
      <c r="C25" s="226"/>
      <c r="D25" s="226"/>
      <c r="E25" s="226"/>
      <c r="F25" s="220"/>
      <c r="G25" s="220"/>
      <c r="H25" s="221"/>
      <c r="I25" s="208"/>
    </row>
    <row r="26" spans="1:14" ht="16.5" customHeight="1">
      <c r="A26" s="1132" t="s">
        <v>228</v>
      </c>
      <c r="B26" s="1132"/>
      <c r="C26" s="1132"/>
      <c r="D26" s="1132"/>
      <c r="E26" s="820"/>
      <c r="F26" s="821"/>
      <c r="G26" s="821"/>
      <c r="H26" s="823">
        <v>41</v>
      </c>
    </row>
  </sheetData>
  <mergeCells count="10">
    <mergeCell ref="A22:H22"/>
    <mergeCell ref="A26:D26"/>
    <mergeCell ref="A1:H1"/>
    <mergeCell ref="A2:H2"/>
    <mergeCell ref="A3:A4"/>
    <mergeCell ref="B3:D3"/>
    <mergeCell ref="E3:E4"/>
    <mergeCell ref="F3:H3"/>
    <mergeCell ref="A24:E24"/>
    <mergeCell ref="A23:F23"/>
  </mergeCells>
  <printOptions horizontalCentered="1"/>
  <pageMargins left="0.70866141732283472" right="0.70866141732283472" top="0.55118110236220474" bottom="0.55118110236220474" header="0.31496062992125984" footer="0.31496062992125984"/>
  <pageSetup paperSize="9" scale="98"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P46"/>
  <sheetViews>
    <sheetView rightToLeft="1" view="pageBreakPreview" zoomScaleSheetLayoutView="100" workbookViewId="0">
      <pane ySplit="4" topLeftCell="A5" activePane="bottomLeft" state="frozen"/>
      <selection pane="bottomLeft" activeCell="H12" sqref="H12"/>
    </sheetView>
  </sheetViews>
  <sheetFormatPr defaultColWidth="10.42578125" defaultRowHeight="14.25"/>
  <cols>
    <col min="1" max="1" width="12.85546875" style="244" customWidth="1"/>
    <col min="2" max="2" width="16.42578125" style="244" customWidth="1"/>
    <col min="3" max="5" width="15.7109375" style="244" customWidth="1"/>
    <col min="6" max="6" width="0.85546875" style="244" customWidth="1"/>
    <col min="7" max="10" width="12" style="244" customWidth="1"/>
    <col min="11" max="13" width="0" style="244" hidden="1" customWidth="1"/>
    <col min="14" max="16384" width="10.42578125" style="244"/>
  </cols>
  <sheetData>
    <row r="1" spans="1:16" ht="22.5" customHeight="1">
      <c r="A1" s="1168" t="s">
        <v>525</v>
      </c>
      <c r="B1" s="1168"/>
      <c r="C1" s="1168"/>
      <c r="D1" s="1168"/>
      <c r="E1" s="1168"/>
      <c r="F1" s="1168"/>
      <c r="G1" s="1168"/>
      <c r="H1" s="1168"/>
      <c r="I1" s="1168"/>
      <c r="J1" s="1168"/>
    </row>
    <row r="2" spans="1:16" ht="22.5" customHeight="1" thickBot="1">
      <c r="A2" s="1169" t="s">
        <v>584</v>
      </c>
      <c r="B2" s="1169"/>
      <c r="C2" s="1169"/>
      <c r="D2" s="1169"/>
      <c r="E2" s="1169"/>
      <c r="F2" s="1169"/>
      <c r="G2" s="1169"/>
      <c r="H2" s="1169"/>
      <c r="I2" s="1169"/>
      <c r="J2" s="1169"/>
    </row>
    <row r="3" spans="1:16" ht="29.25" customHeight="1" thickTop="1">
      <c r="A3" s="1170" t="s">
        <v>57</v>
      </c>
      <c r="B3" s="1170" t="s">
        <v>315</v>
      </c>
      <c r="C3" s="1166" t="s">
        <v>283</v>
      </c>
      <c r="D3" s="1166"/>
      <c r="E3" s="1166"/>
      <c r="F3" s="1172"/>
      <c r="G3" s="1172" t="s">
        <v>284</v>
      </c>
      <c r="H3" s="1172"/>
      <c r="I3" s="1172"/>
      <c r="J3" s="1172"/>
    </row>
    <row r="4" spans="1:16" ht="22.5" customHeight="1">
      <c r="A4" s="1171"/>
      <c r="B4" s="1171"/>
      <c r="C4" s="243" t="s">
        <v>262</v>
      </c>
      <c r="D4" s="243" t="s">
        <v>263</v>
      </c>
      <c r="E4" s="243" t="s">
        <v>264</v>
      </c>
      <c r="F4" s="1174"/>
      <c r="G4" s="243" t="s">
        <v>262</v>
      </c>
      <c r="H4" s="243" t="s">
        <v>263</v>
      </c>
      <c r="I4" s="243" t="s">
        <v>264</v>
      </c>
      <c r="J4" s="243" t="s">
        <v>23</v>
      </c>
    </row>
    <row r="5" spans="1:16" s="507" customFormat="1" ht="22.5" customHeight="1">
      <c r="A5" s="455" t="s">
        <v>58</v>
      </c>
      <c r="B5" s="211">
        <f>'16'!T5</f>
        <v>2002575</v>
      </c>
      <c r="C5" s="215">
        <f>ROUND($B5*G5/100,0)</f>
        <v>1802318</v>
      </c>
      <c r="D5" s="215">
        <f t="shared" ref="D5:E5" si="0">ROUND($B5*H5/100,0)</f>
        <v>140180</v>
      </c>
      <c r="E5" s="215">
        <f t="shared" si="0"/>
        <v>60077</v>
      </c>
      <c r="F5" s="215"/>
      <c r="G5" s="572">
        <v>90</v>
      </c>
      <c r="H5" s="572">
        <v>7</v>
      </c>
      <c r="I5" s="572">
        <v>3</v>
      </c>
      <c r="J5" s="560">
        <f t="shared" ref="J5:J21" si="1">SUM(G5:I5)</f>
        <v>100</v>
      </c>
      <c r="P5" s="508">
        <f>SUM(C5:E5)</f>
        <v>2002575</v>
      </c>
    </row>
    <row r="6" spans="1:16" s="249" customFormat="1" ht="22.5" customHeight="1">
      <c r="A6" s="455" t="s">
        <v>59</v>
      </c>
      <c r="B6" s="211">
        <f>'16'!T6</f>
        <v>664935</v>
      </c>
      <c r="C6" s="215">
        <f>ROUND($B6*G6/100,0)</f>
        <v>611740</v>
      </c>
      <c r="D6" s="215">
        <f t="shared" ref="D6:D19" si="2">ROUND($B6*H6/100,0)</f>
        <v>6649</v>
      </c>
      <c r="E6" s="215">
        <f>ROUNDUP($B6*I6/100,0)</f>
        <v>46546</v>
      </c>
      <c r="F6" s="215"/>
      <c r="G6" s="572">
        <v>92</v>
      </c>
      <c r="H6" s="572">
        <v>1</v>
      </c>
      <c r="I6" s="572">
        <v>7</v>
      </c>
      <c r="J6" s="401">
        <f t="shared" si="1"/>
        <v>100</v>
      </c>
      <c r="P6" s="508">
        <f t="shared" ref="P6:P20" si="3">SUM(C6:E6)</f>
        <v>664935</v>
      </c>
    </row>
    <row r="7" spans="1:16" s="249" customFormat="1" ht="22.5" customHeight="1">
      <c r="A7" s="576" t="s">
        <v>60</v>
      </c>
      <c r="B7" s="211">
        <f>'16'!T7</f>
        <v>556243</v>
      </c>
      <c r="C7" s="215">
        <f t="shared" ref="C7:C20" si="4">ROUND($B7*G7/100,0)</f>
        <v>533993</v>
      </c>
      <c r="D7" s="215">
        <f t="shared" si="2"/>
        <v>16687</v>
      </c>
      <c r="E7" s="215">
        <f>ROUNDUP($B7*I7/100,0)</f>
        <v>5563</v>
      </c>
      <c r="F7" s="215"/>
      <c r="G7" s="572">
        <v>96</v>
      </c>
      <c r="H7" s="572">
        <v>3</v>
      </c>
      <c r="I7" s="572">
        <v>1</v>
      </c>
      <c r="J7" s="401">
        <f t="shared" si="1"/>
        <v>100</v>
      </c>
      <c r="P7" s="508">
        <f t="shared" si="3"/>
        <v>556243</v>
      </c>
    </row>
    <row r="8" spans="1:16" s="249" customFormat="1" ht="22.5" customHeight="1">
      <c r="A8" s="549" t="s">
        <v>296</v>
      </c>
      <c r="B8" s="211">
        <f>'16'!T8</f>
        <v>709027</v>
      </c>
      <c r="C8" s="215">
        <f t="shared" si="4"/>
        <v>567222</v>
      </c>
      <c r="D8" s="215">
        <f t="shared" si="2"/>
        <v>35451</v>
      </c>
      <c r="E8" s="215">
        <f t="shared" ref="E8:E20" si="5">ROUND($B8*I8/100,0)</f>
        <v>106354</v>
      </c>
      <c r="F8" s="215"/>
      <c r="G8" s="572">
        <v>80</v>
      </c>
      <c r="H8" s="572">
        <v>5</v>
      </c>
      <c r="I8" s="572">
        <v>15</v>
      </c>
      <c r="J8" s="560">
        <f t="shared" si="1"/>
        <v>100</v>
      </c>
      <c r="P8" s="508">
        <f t="shared" si="3"/>
        <v>709027</v>
      </c>
    </row>
    <row r="9" spans="1:16" s="249" customFormat="1" ht="23.25" customHeight="1">
      <c r="A9" s="898" t="s">
        <v>71</v>
      </c>
      <c r="B9" s="211">
        <f>'16'!T9</f>
        <v>4093000</v>
      </c>
      <c r="C9" s="215">
        <f t="shared" si="4"/>
        <v>3503608</v>
      </c>
      <c r="D9" s="215">
        <f t="shared" si="2"/>
        <v>39293</v>
      </c>
      <c r="E9" s="215">
        <f t="shared" si="5"/>
        <v>550099</v>
      </c>
      <c r="F9" s="215"/>
      <c r="G9" s="572">
        <v>85.6</v>
      </c>
      <c r="H9" s="572">
        <v>0.96</v>
      </c>
      <c r="I9" s="572">
        <v>13.44</v>
      </c>
      <c r="J9" s="401">
        <f t="shared" si="1"/>
        <v>99.999999999999986</v>
      </c>
      <c r="P9" s="508">
        <f t="shared" si="3"/>
        <v>4093000</v>
      </c>
    </row>
    <row r="10" spans="1:16" s="249" customFormat="1" ht="22.5" customHeight="1">
      <c r="A10" s="573" t="s">
        <v>62</v>
      </c>
      <c r="B10" s="211">
        <f>'16'!T10</f>
        <v>791699</v>
      </c>
      <c r="C10" s="215">
        <f t="shared" si="4"/>
        <v>554189</v>
      </c>
      <c r="D10" s="215">
        <f t="shared" si="2"/>
        <v>158340</v>
      </c>
      <c r="E10" s="215">
        <f t="shared" si="5"/>
        <v>79170</v>
      </c>
      <c r="F10" s="215"/>
      <c r="G10" s="572">
        <v>70</v>
      </c>
      <c r="H10" s="572">
        <v>20</v>
      </c>
      <c r="I10" s="572">
        <v>10</v>
      </c>
      <c r="J10" s="401">
        <f t="shared" si="1"/>
        <v>100</v>
      </c>
      <c r="K10" s="249">
        <v>564947.6</v>
      </c>
      <c r="L10" s="249">
        <v>161413.6</v>
      </c>
      <c r="M10" s="249">
        <v>80706.8</v>
      </c>
      <c r="P10" s="508">
        <f t="shared" si="3"/>
        <v>791699</v>
      </c>
    </row>
    <row r="11" spans="1:16" s="249" customFormat="1" ht="22.5" customHeight="1">
      <c r="A11" s="577" t="s">
        <v>64</v>
      </c>
      <c r="B11" s="211">
        <f>'17'!C10</f>
        <v>784443</v>
      </c>
      <c r="C11" s="215">
        <f t="shared" si="4"/>
        <v>765616</v>
      </c>
      <c r="D11" s="215">
        <f t="shared" si="2"/>
        <v>12551</v>
      </c>
      <c r="E11" s="215">
        <f t="shared" si="5"/>
        <v>6276</v>
      </c>
      <c r="F11" s="215"/>
      <c r="G11" s="572">
        <v>97.6</v>
      </c>
      <c r="H11" s="572">
        <v>1.6</v>
      </c>
      <c r="I11" s="572">
        <v>0.8</v>
      </c>
      <c r="J11" s="401">
        <f t="shared" si="1"/>
        <v>99.999999999999986</v>
      </c>
      <c r="P11" s="508">
        <f t="shared" si="3"/>
        <v>784443</v>
      </c>
    </row>
    <row r="12" spans="1:16" s="249" customFormat="1" ht="22.5" customHeight="1">
      <c r="A12" s="587" t="s">
        <v>56</v>
      </c>
      <c r="B12" s="211">
        <f>'17'!C11</f>
        <v>588774</v>
      </c>
      <c r="C12" s="215">
        <f t="shared" si="4"/>
        <v>500458</v>
      </c>
      <c r="D12" s="215">
        <f t="shared" si="2"/>
        <v>11775</v>
      </c>
      <c r="E12" s="215">
        <f t="shared" si="5"/>
        <v>76541</v>
      </c>
      <c r="F12" s="211"/>
      <c r="G12" s="572">
        <v>85</v>
      </c>
      <c r="H12" s="572">
        <v>2</v>
      </c>
      <c r="I12" s="572">
        <v>13</v>
      </c>
      <c r="J12" s="401">
        <f t="shared" si="1"/>
        <v>100</v>
      </c>
      <c r="P12" s="508">
        <f t="shared" si="3"/>
        <v>588774</v>
      </c>
    </row>
    <row r="13" spans="1:16" s="248" customFormat="1" ht="22.5" customHeight="1">
      <c r="A13" s="579" t="s">
        <v>63</v>
      </c>
      <c r="B13" s="211">
        <f>'16'!T13</f>
        <v>560898</v>
      </c>
      <c r="C13" s="215">
        <f t="shared" si="4"/>
        <v>521635</v>
      </c>
      <c r="D13" s="215">
        <f t="shared" si="2"/>
        <v>16827</v>
      </c>
      <c r="E13" s="215">
        <f t="shared" si="5"/>
        <v>22436</v>
      </c>
      <c r="F13" s="215"/>
      <c r="G13" s="572">
        <v>93</v>
      </c>
      <c r="H13" s="572">
        <v>3</v>
      </c>
      <c r="I13" s="572">
        <v>4</v>
      </c>
      <c r="J13" s="401">
        <f t="shared" si="1"/>
        <v>100</v>
      </c>
      <c r="K13" s="248">
        <v>647859.84</v>
      </c>
      <c r="L13" s="248">
        <v>6748.54</v>
      </c>
      <c r="M13" s="248">
        <v>20245.62</v>
      </c>
      <c r="P13" s="508">
        <f t="shared" si="3"/>
        <v>560898</v>
      </c>
    </row>
    <row r="14" spans="1:16" s="248" customFormat="1" ht="22.5" customHeight="1">
      <c r="A14" s="574" t="s">
        <v>61</v>
      </c>
      <c r="B14" s="211">
        <f>'16'!T14</f>
        <v>670468</v>
      </c>
      <c r="C14" s="215">
        <f t="shared" si="4"/>
        <v>636945</v>
      </c>
      <c r="D14" s="215">
        <f t="shared" si="2"/>
        <v>13409</v>
      </c>
      <c r="E14" s="215">
        <f t="shared" si="5"/>
        <v>20114</v>
      </c>
      <c r="F14" s="215"/>
      <c r="G14" s="572">
        <v>95</v>
      </c>
      <c r="H14" s="572">
        <v>2</v>
      </c>
      <c r="I14" s="572">
        <v>3</v>
      </c>
      <c r="J14" s="401">
        <f t="shared" si="1"/>
        <v>100</v>
      </c>
      <c r="K14" s="215">
        <v>485700</v>
      </c>
      <c r="L14" s="215">
        <v>5007</v>
      </c>
      <c r="M14" s="215">
        <v>10015</v>
      </c>
      <c r="P14" s="508">
        <f t="shared" si="3"/>
        <v>670468</v>
      </c>
    </row>
    <row r="15" spans="1:16" s="248" customFormat="1" ht="22.5" customHeight="1">
      <c r="A15" s="589" t="s">
        <v>65</v>
      </c>
      <c r="B15" s="211">
        <f>'16'!T15</f>
        <v>718375</v>
      </c>
      <c r="C15" s="215">
        <f>ROUNDDOWN($B15*G15/100,0)</f>
        <v>646537</v>
      </c>
      <c r="D15" s="215">
        <f t="shared" si="2"/>
        <v>7184</v>
      </c>
      <c r="E15" s="215">
        <f t="shared" si="5"/>
        <v>64654</v>
      </c>
      <c r="F15" s="215"/>
      <c r="G15" s="572">
        <v>90</v>
      </c>
      <c r="H15" s="572">
        <v>1</v>
      </c>
      <c r="I15" s="572">
        <v>9</v>
      </c>
      <c r="J15" s="401">
        <f t="shared" si="1"/>
        <v>100</v>
      </c>
      <c r="P15" s="508">
        <f t="shared" si="3"/>
        <v>718375</v>
      </c>
    </row>
    <row r="16" spans="1:16" s="248" customFormat="1" ht="22.5" customHeight="1">
      <c r="A16" s="567" t="s">
        <v>66</v>
      </c>
      <c r="B16" s="211">
        <f>'16'!T16</f>
        <v>634300</v>
      </c>
      <c r="C16" s="215">
        <f t="shared" si="4"/>
        <v>539155</v>
      </c>
      <c r="D16" s="215">
        <f t="shared" si="2"/>
        <v>63430</v>
      </c>
      <c r="E16" s="215">
        <f t="shared" si="5"/>
        <v>31715</v>
      </c>
      <c r="F16" s="215"/>
      <c r="G16" s="572">
        <v>85</v>
      </c>
      <c r="H16" s="572">
        <v>10</v>
      </c>
      <c r="I16" s="572">
        <v>5</v>
      </c>
      <c r="J16" s="401">
        <f t="shared" si="1"/>
        <v>100</v>
      </c>
      <c r="P16" s="508">
        <f t="shared" si="3"/>
        <v>634300</v>
      </c>
    </row>
    <row r="17" spans="1:16" s="248" customFormat="1" ht="22.5" customHeight="1">
      <c r="A17" s="548" t="s">
        <v>67</v>
      </c>
      <c r="B17" s="211">
        <f>'16'!T17</f>
        <v>216776</v>
      </c>
      <c r="C17" s="215">
        <f t="shared" si="4"/>
        <v>205937</v>
      </c>
      <c r="D17" s="215">
        <f t="shared" si="2"/>
        <v>3035</v>
      </c>
      <c r="E17" s="215">
        <f t="shared" si="5"/>
        <v>7804</v>
      </c>
      <c r="F17" s="215"/>
      <c r="G17" s="572">
        <v>95</v>
      </c>
      <c r="H17" s="572">
        <v>1.4</v>
      </c>
      <c r="I17" s="572">
        <v>3.6</v>
      </c>
      <c r="J17" s="401">
        <f t="shared" si="1"/>
        <v>100</v>
      </c>
      <c r="P17" s="508">
        <f t="shared" si="3"/>
        <v>216776</v>
      </c>
    </row>
    <row r="18" spans="1:16" s="248" customFormat="1" ht="22.5" customHeight="1">
      <c r="A18" s="574" t="s">
        <v>68</v>
      </c>
      <c r="B18" s="211">
        <v>576182</v>
      </c>
      <c r="C18" s="215">
        <f t="shared" si="4"/>
        <v>553135</v>
      </c>
      <c r="D18" s="215">
        <f t="shared" si="2"/>
        <v>288</v>
      </c>
      <c r="E18" s="215">
        <f t="shared" si="5"/>
        <v>22759</v>
      </c>
      <c r="F18" s="215"/>
      <c r="G18" s="572">
        <v>96</v>
      </c>
      <c r="H18" s="572">
        <v>0.05</v>
      </c>
      <c r="I18" s="572">
        <v>3.95</v>
      </c>
      <c r="J18" s="401">
        <f t="shared" si="1"/>
        <v>100</v>
      </c>
      <c r="K18" s="248">
        <v>595215.4</v>
      </c>
      <c r="L18" s="215">
        <v>6200.2</v>
      </c>
      <c r="M18" s="248">
        <v>18600.5</v>
      </c>
      <c r="P18" s="508">
        <f t="shared" si="3"/>
        <v>576182</v>
      </c>
    </row>
    <row r="19" spans="1:16" s="248" customFormat="1" ht="22.5" customHeight="1">
      <c r="A19" s="578" t="s">
        <v>69</v>
      </c>
      <c r="B19" s="211">
        <f>'16'!T19</f>
        <v>699872</v>
      </c>
      <c r="C19" s="215">
        <f t="shared" si="4"/>
        <v>601890</v>
      </c>
      <c r="D19" s="215">
        <f t="shared" si="2"/>
        <v>76986</v>
      </c>
      <c r="E19" s="215">
        <f t="shared" si="5"/>
        <v>20996</v>
      </c>
      <c r="F19" s="215"/>
      <c r="G19" s="572">
        <v>86</v>
      </c>
      <c r="H19" s="572">
        <v>11</v>
      </c>
      <c r="I19" s="572">
        <v>3</v>
      </c>
      <c r="J19" s="401">
        <f t="shared" si="1"/>
        <v>100</v>
      </c>
      <c r="P19" s="508">
        <f t="shared" si="3"/>
        <v>699872</v>
      </c>
    </row>
    <row r="20" spans="1:16" s="248" customFormat="1" ht="22.5" customHeight="1" thickBot="1">
      <c r="A20" s="216" t="s">
        <v>70</v>
      </c>
      <c r="B20" s="211">
        <f>'17'!C19</f>
        <v>1887497</v>
      </c>
      <c r="C20" s="215">
        <f t="shared" si="4"/>
        <v>1509998</v>
      </c>
      <c r="D20" s="215">
        <f>ROUNDDOWN($B20*H20/100,0)</f>
        <v>283124</v>
      </c>
      <c r="E20" s="215">
        <f t="shared" si="5"/>
        <v>94375</v>
      </c>
      <c r="F20" s="211"/>
      <c r="G20" s="670">
        <v>80</v>
      </c>
      <c r="H20" s="670">
        <v>15</v>
      </c>
      <c r="I20" s="670">
        <v>5</v>
      </c>
      <c r="J20" s="401">
        <f t="shared" si="1"/>
        <v>100</v>
      </c>
      <c r="P20" s="508">
        <f t="shared" si="3"/>
        <v>1887497</v>
      </c>
    </row>
    <row r="21" spans="1:16" s="206" customFormat="1" ht="22.5" customHeight="1" thickTop="1" thickBot="1">
      <c r="A21" s="222" t="s">
        <v>280</v>
      </c>
      <c r="B21" s="225">
        <f>SUM(B5:B20)</f>
        <v>16155064</v>
      </c>
      <c r="C21" s="225">
        <f>SUM(C5:C20)</f>
        <v>14054376</v>
      </c>
      <c r="D21" s="225">
        <f>SUM(D5:D20)</f>
        <v>885209</v>
      </c>
      <c r="E21" s="225">
        <f>SUM(E5:E20)</f>
        <v>1215479</v>
      </c>
      <c r="F21" s="225"/>
      <c r="G21" s="671">
        <f>C21/B21*100</f>
        <v>86.996721275756002</v>
      </c>
      <c r="H21" s="671">
        <f>D21/B21*100</f>
        <v>5.4794521395891715</v>
      </c>
      <c r="I21" s="671">
        <f>E21/B21*100</f>
        <v>7.5238265846548176</v>
      </c>
      <c r="J21" s="303">
        <f t="shared" si="1"/>
        <v>99.999999999999986</v>
      </c>
    </row>
    <row r="22" spans="1:16" s="206" customFormat="1" ht="7.5" customHeight="1" thickTop="1">
      <c r="A22" s="1175"/>
      <c r="B22" s="1175"/>
      <c r="C22" s="1175"/>
      <c r="D22" s="1175"/>
      <c r="E22" s="1175"/>
      <c r="F22" s="322"/>
      <c r="G22"/>
      <c r="H22"/>
      <c r="I22"/>
      <c r="J22" s="217"/>
      <c r="K22" s="209"/>
      <c r="L22" s="208"/>
      <c r="M22" s="208"/>
    </row>
    <row r="23" spans="1:16" s="206" customFormat="1" ht="19.5" customHeight="1">
      <c r="A23" s="1135" t="s">
        <v>509</v>
      </c>
      <c r="B23" s="1135"/>
      <c r="C23" s="1135"/>
      <c r="D23" s="1135"/>
      <c r="E23" s="1135"/>
      <c r="F23" s="1135"/>
      <c r="G23" s="1135"/>
      <c r="H23" s="1135"/>
      <c r="I23" s="1135"/>
      <c r="J23" s="1135"/>
      <c r="K23" s="1135"/>
      <c r="L23" s="1135"/>
      <c r="M23" s="1135"/>
      <c r="N23" s="208"/>
    </row>
    <row r="24" spans="1:16" s="206" customFormat="1" ht="19.5" customHeight="1">
      <c r="A24" s="1138" t="s">
        <v>292</v>
      </c>
      <c r="B24" s="1138"/>
      <c r="C24" s="1138"/>
      <c r="D24" s="1138"/>
      <c r="E24" s="1138"/>
      <c r="F24" s="1138"/>
      <c r="G24" s="1138"/>
      <c r="H24" s="1138"/>
      <c r="I24" s="1138"/>
      <c r="J24" s="1138"/>
      <c r="K24" s="1138"/>
      <c r="L24" s="1138"/>
      <c r="M24" s="1138"/>
      <c r="N24" s="208"/>
    </row>
    <row r="25" spans="1:16" s="206" customFormat="1" ht="15" customHeight="1">
      <c r="A25" s="633"/>
      <c r="B25" s="633"/>
      <c r="C25" s="633"/>
      <c r="D25" s="633"/>
      <c r="E25" s="633"/>
      <c r="F25" s="633"/>
      <c r="G25" s="633"/>
      <c r="H25" s="633"/>
      <c r="I25" s="633"/>
      <c r="J25" s="633"/>
      <c r="K25" s="633"/>
      <c r="L25" s="633"/>
      <c r="M25" s="633"/>
      <c r="N25" s="208"/>
    </row>
    <row r="26" spans="1:16" ht="21.75" customHeight="1">
      <c r="A26" s="1132" t="s">
        <v>228</v>
      </c>
      <c r="B26" s="1132"/>
      <c r="C26" s="1132"/>
      <c r="D26" s="1132"/>
      <c r="E26" s="1132"/>
      <c r="F26" s="820"/>
      <c r="G26" s="821"/>
      <c r="H26" s="821"/>
      <c r="I26" s="821"/>
      <c r="J26" s="822">
        <v>42</v>
      </c>
    </row>
    <row r="31" spans="1:16">
      <c r="C31" s="358"/>
    </row>
    <row r="32" spans="1:16">
      <c r="C32" s="358"/>
    </row>
    <row r="33" spans="3:3">
      <c r="C33" s="358"/>
    </row>
    <row r="34" spans="3:3">
      <c r="C34" s="358"/>
    </row>
    <row r="35" spans="3:3">
      <c r="C35" s="358"/>
    </row>
    <row r="36" spans="3:3">
      <c r="C36" s="358"/>
    </row>
    <row r="37" spans="3:3">
      <c r="C37" s="358"/>
    </row>
    <row r="38" spans="3:3">
      <c r="C38" s="358"/>
    </row>
    <row r="39" spans="3:3">
      <c r="C39" s="358"/>
    </row>
    <row r="40" spans="3:3">
      <c r="C40" s="358"/>
    </row>
    <row r="41" spans="3:3">
      <c r="C41" s="358"/>
    </row>
    <row r="42" spans="3:3">
      <c r="C42" s="358"/>
    </row>
    <row r="43" spans="3:3">
      <c r="C43" s="358"/>
    </row>
    <row r="44" spans="3:3">
      <c r="C44" s="358"/>
    </row>
    <row r="45" spans="3:3">
      <c r="C45" s="358"/>
    </row>
    <row r="46" spans="3:3">
      <c r="C46" s="358"/>
    </row>
  </sheetData>
  <mergeCells count="11">
    <mergeCell ref="A26:E26"/>
    <mergeCell ref="A1:J1"/>
    <mergeCell ref="A2:J2"/>
    <mergeCell ref="A3:A4"/>
    <mergeCell ref="C3:E3"/>
    <mergeCell ref="F3:F4"/>
    <mergeCell ref="G3:J3"/>
    <mergeCell ref="A23:M23"/>
    <mergeCell ref="A24:M24"/>
    <mergeCell ref="A22:E22"/>
    <mergeCell ref="B3:B4"/>
  </mergeCells>
  <printOptions horizontalCentered="1"/>
  <pageMargins left="0.51181102362204722" right="0.51181102362204722" top="0.55118110236220474" bottom="0.55118110236220474" header="0.31496062992125984" footer="0.31496062992125984"/>
  <pageSetup paperSize="9" scale="92"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P32"/>
  <sheetViews>
    <sheetView rightToLeft="1" view="pageBreakPreview" zoomScaleSheetLayoutView="100" workbookViewId="0">
      <selection activeCell="E23" sqref="E23"/>
    </sheetView>
  </sheetViews>
  <sheetFormatPr defaultColWidth="10.42578125" defaultRowHeight="15"/>
  <cols>
    <col min="1" max="1" width="4.85546875" style="654" customWidth="1"/>
    <col min="2" max="2" width="39.28515625" style="244" customWidth="1"/>
    <col min="3" max="3" width="12.140625" style="244" customWidth="1"/>
    <col min="4" max="4" width="10.7109375" style="244" customWidth="1"/>
    <col min="5" max="5" width="62.7109375" style="244" customWidth="1"/>
    <col min="6" max="16384" width="10.42578125" style="244"/>
  </cols>
  <sheetData>
    <row r="1" spans="1:5" ht="24.75" customHeight="1">
      <c r="A1" s="1168" t="s">
        <v>526</v>
      </c>
      <c r="B1" s="1168"/>
      <c r="C1" s="1168"/>
      <c r="D1" s="1168"/>
      <c r="E1" s="1168"/>
    </row>
    <row r="2" spans="1:5" ht="23.25" customHeight="1" thickBot="1">
      <c r="A2" s="1177" t="s">
        <v>367</v>
      </c>
      <c r="B2" s="1177"/>
      <c r="C2" s="1177"/>
      <c r="D2" s="1177"/>
      <c r="E2" s="1177"/>
    </row>
    <row r="3" spans="1:5" ht="33.75" customHeight="1" thickTop="1">
      <c r="A3" s="817"/>
      <c r="B3" s="263" t="s">
        <v>265</v>
      </c>
      <c r="C3" s="263" t="s">
        <v>266</v>
      </c>
      <c r="D3" s="264" t="s">
        <v>198</v>
      </c>
      <c r="E3" s="264" t="s">
        <v>267</v>
      </c>
    </row>
    <row r="4" spans="1:5" s="206" customFormat="1" ht="24" customHeight="1">
      <c r="A4" s="655">
        <v>1</v>
      </c>
      <c r="B4" s="656" t="s">
        <v>268</v>
      </c>
      <c r="C4" s="308">
        <v>6</v>
      </c>
      <c r="D4" s="428">
        <f>6/16*100</f>
        <v>37.5</v>
      </c>
      <c r="E4" s="306" t="s">
        <v>532</v>
      </c>
    </row>
    <row r="5" spans="1:5" s="206" customFormat="1" ht="24" customHeight="1">
      <c r="A5" s="655">
        <v>2</v>
      </c>
      <c r="B5" s="657" t="s">
        <v>269</v>
      </c>
      <c r="C5" s="309">
        <v>14</v>
      </c>
      <c r="D5" s="314">
        <f>14/16*100</f>
        <v>87.5</v>
      </c>
      <c r="E5" s="307" t="s">
        <v>534</v>
      </c>
    </row>
    <row r="6" spans="1:5" s="206" customFormat="1" ht="24" customHeight="1">
      <c r="A6" s="655">
        <v>3</v>
      </c>
      <c r="B6" s="657" t="s">
        <v>270</v>
      </c>
      <c r="C6" s="310">
        <v>10</v>
      </c>
      <c r="D6" s="314">
        <f>10/16*100</f>
        <v>62.5</v>
      </c>
      <c r="E6" s="307" t="s">
        <v>585</v>
      </c>
    </row>
    <row r="7" spans="1:5" s="206" customFormat="1" ht="24" customHeight="1">
      <c r="A7" s="655">
        <v>4</v>
      </c>
      <c r="B7" s="657" t="s">
        <v>271</v>
      </c>
      <c r="C7" s="310">
        <v>12</v>
      </c>
      <c r="D7" s="314">
        <f>12/16*100</f>
        <v>75</v>
      </c>
      <c r="E7" s="307" t="s">
        <v>586</v>
      </c>
    </row>
    <row r="8" spans="1:5" s="206" customFormat="1" ht="29.25" customHeight="1">
      <c r="A8" s="655">
        <v>5</v>
      </c>
      <c r="B8" s="657" t="s">
        <v>272</v>
      </c>
      <c r="C8" s="310">
        <v>13</v>
      </c>
      <c r="D8" s="314">
        <f>13/16*100</f>
        <v>81.25</v>
      </c>
      <c r="E8" s="307" t="s">
        <v>590</v>
      </c>
    </row>
    <row r="9" spans="1:5" s="206" customFormat="1" ht="23.25" customHeight="1">
      <c r="A9" s="655">
        <v>6</v>
      </c>
      <c r="B9" s="658" t="s">
        <v>273</v>
      </c>
      <c r="C9" s="310">
        <v>3</v>
      </c>
      <c r="D9" s="314">
        <f>3/16*100</f>
        <v>18.75</v>
      </c>
      <c r="E9" s="307" t="s">
        <v>587</v>
      </c>
    </row>
    <row r="10" spans="1:5" s="212" customFormat="1" ht="24" customHeight="1">
      <c r="A10" s="655">
        <v>7</v>
      </c>
      <c r="B10" s="657" t="s">
        <v>274</v>
      </c>
      <c r="C10" s="310">
        <v>8</v>
      </c>
      <c r="D10" s="314">
        <f>8/16*100</f>
        <v>50</v>
      </c>
      <c r="E10" s="307" t="s">
        <v>535</v>
      </c>
    </row>
    <row r="11" spans="1:5" s="212" customFormat="1" ht="24" customHeight="1">
      <c r="A11" s="655">
        <v>8</v>
      </c>
      <c r="B11" s="657" t="s">
        <v>275</v>
      </c>
      <c r="C11" s="311">
        <v>6</v>
      </c>
      <c r="D11" s="314">
        <f>6/16*100</f>
        <v>37.5</v>
      </c>
      <c r="E11" s="307" t="s">
        <v>574</v>
      </c>
    </row>
    <row r="12" spans="1:5" s="212" customFormat="1" ht="24" customHeight="1">
      <c r="A12" s="655">
        <v>9</v>
      </c>
      <c r="B12" s="657" t="s">
        <v>276</v>
      </c>
      <c r="C12" s="311">
        <v>1</v>
      </c>
      <c r="D12" s="314">
        <f>1/16*100</f>
        <v>6.25</v>
      </c>
      <c r="E12" s="307" t="s">
        <v>70</v>
      </c>
    </row>
    <row r="13" spans="1:5" s="212" customFormat="1" ht="30" customHeight="1">
      <c r="A13" s="655">
        <v>10</v>
      </c>
      <c r="B13" s="657" t="s">
        <v>277</v>
      </c>
      <c r="C13" s="311">
        <v>16</v>
      </c>
      <c r="D13" s="314">
        <v>100</v>
      </c>
      <c r="E13" s="307" t="s">
        <v>448</v>
      </c>
    </row>
    <row r="14" spans="1:5" s="212" customFormat="1" ht="29.25" customHeight="1">
      <c r="A14" s="655">
        <v>11</v>
      </c>
      <c r="B14" s="659" t="s">
        <v>278</v>
      </c>
      <c r="C14" s="311">
        <v>16</v>
      </c>
      <c r="D14" s="314">
        <v>100</v>
      </c>
      <c r="E14" s="307" t="s">
        <v>448</v>
      </c>
    </row>
    <row r="15" spans="1:5" s="212" customFormat="1" ht="27.75" customHeight="1">
      <c r="A15" s="655">
        <v>12</v>
      </c>
      <c r="B15" s="657" t="s">
        <v>279</v>
      </c>
      <c r="C15" s="311">
        <v>16</v>
      </c>
      <c r="D15" s="314">
        <v>100</v>
      </c>
      <c r="E15" s="307" t="s">
        <v>448</v>
      </c>
    </row>
    <row r="16" spans="1:5" s="212" customFormat="1" ht="28.5" customHeight="1">
      <c r="A16" s="655">
        <v>13</v>
      </c>
      <c r="B16" s="660" t="s">
        <v>289</v>
      </c>
      <c r="C16" s="313">
        <v>14</v>
      </c>
      <c r="D16" s="314">
        <f>14/16*100</f>
        <v>87.5</v>
      </c>
      <c r="E16" s="307" t="s">
        <v>575</v>
      </c>
    </row>
    <row r="17" spans="1:16" s="212" customFormat="1" ht="24" customHeight="1">
      <c r="A17" s="655">
        <v>14</v>
      </c>
      <c r="B17" s="660" t="s">
        <v>311</v>
      </c>
      <c r="C17" s="313">
        <v>2</v>
      </c>
      <c r="D17" s="314">
        <f>2/16*100</f>
        <v>12.5</v>
      </c>
      <c r="E17" s="307" t="s">
        <v>447</v>
      </c>
    </row>
    <row r="18" spans="1:16" s="212" customFormat="1" ht="24" customHeight="1">
      <c r="A18" s="655">
        <v>15</v>
      </c>
      <c r="B18" s="660" t="s">
        <v>531</v>
      </c>
      <c r="C18" s="313">
        <v>4</v>
      </c>
      <c r="D18" s="900">
        <f>4/16*100</f>
        <v>25</v>
      </c>
      <c r="E18" s="901" t="s">
        <v>588</v>
      </c>
    </row>
    <row r="19" spans="1:16" s="212" customFormat="1" ht="24" customHeight="1" thickBot="1">
      <c r="A19" s="655">
        <v>16</v>
      </c>
      <c r="B19" s="661" t="s">
        <v>285</v>
      </c>
      <c r="C19" s="312">
        <v>1</v>
      </c>
      <c r="D19" s="360">
        <f>1/16*100</f>
        <v>6.25</v>
      </c>
      <c r="E19" s="315" t="s">
        <v>533</v>
      </c>
    </row>
    <row r="20" spans="1:16" s="206" customFormat="1" ht="22.5" customHeight="1" thickTop="1">
      <c r="A20" s="819"/>
      <c r="B20" s="1135" t="s">
        <v>509</v>
      </c>
      <c r="C20" s="1135"/>
      <c r="D20" s="1135"/>
      <c r="E20" s="1135"/>
      <c r="F20" s="1135"/>
      <c r="G20" s="1135"/>
      <c r="H20" s="1135"/>
      <c r="I20" s="1135"/>
      <c r="J20" s="1135"/>
      <c r="K20" s="1135"/>
      <c r="L20" s="1135"/>
      <c r="M20" s="1135"/>
      <c r="N20" s="1135"/>
      <c r="O20" s="1135"/>
      <c r="P20" s="208"/>
    </row>
    <row r="21" spans="1:16" s="206" customFormat="1" ht="22.5" customHeight="1">
      <c r="A21" s="655"/>
      <c r="B21" s="1138" t="s">
        <v>292</v>
      </c>
      <c r="C21" s="1138"/>
      <c r="D21" s="1138"/>
      <c r="E21" s="1138"/>
      <c r="F21" s="1138"/>
      <c r="G21" s="1138"/>
      <c r="H21" s="1138"/>
      <c r="I21" s="1138"/>
      <c r="J21" s="1138"/>
      <c r="K21" s="1138"/>
      <c r="L21" s="1138"/>
      <c r="M21" s="1138"/>
      <c r="N21" s="1138"/>
      <c r="O21" s="1138"/>
      <c r="P21" s="208"/>
    </row>
    <row r="22" spans="1:16" s="206" customFormat="1" ht="16.5" customHeight="1">
      <c r="A22" s="655"/>
      <c r="B22" s="512"/>
      <c r="C22" s="512"/>
      <c r="D22" s="512"/>
      <c r="E22" s="512"/>
      <c r="F22" s="512"/>
      <c r="G22" s="512"/>
      <c r="H22" s="512"/>
      <c r="I22" s="512"/>
      <c r="J22" s="512"/>
      <c r="K22" s="512"/>
      <c r="L22" s="512"/>
      <c r="M22" s="512"/>
      <c r="N22" s="512"/>
      <c r="O22" s="512"/>
      <c r="P22" s="208"/>
    </row>
    <row r="23" spans="1:16" ht="22.5" customHeight="1">
      <c r="A23" s="1176" t="s">
        <v>228</v>
      </c>
      <c r="B23" s="1176"/>
      <c r="C23" s="818"/>
      <c r="D23" s="818"/>
      <c r="E23" s="868">
        <v>43</v>
      </c>
    </row>
    <row r="26" spans="1:16">
      <c r="E26" s="629"/>
    </row>
    <row r="27" spans="1:16">
      <c r="E27" s="629"/>
    </row>
    <row r="28" spans="1:16">
      <c r="E28" s="629"/>
    </row>
    <row r="29" spans="1:16">
      <c r="E29" s="629"/>
    </row>
    <row r="30" spans="1:16">
      <c r="E30" s="629"/>
    </row>
    <row r="31" spans="1:16">
      <c r="E31" s="629"/>
    </row>
    <row r="32" spans="1:16">
      <c r="E32" s="629"/>
    </row>
  </sheetData>
  <mergeCells count="5">
    <mergeCell ref="A23:B23"/>
    <mergeCell ref="B20:O20"/>
    <mergeCell ref="B21:O21"/>
    <mergeCell ref="A2:E2"/>
    <mergeCell ref="A1:E1"/>
  </mergeCells>
  <printOptions horizontalCentered="1"/>
  <pageMargins left="0.51181102362204722" right="0.51181102362204722" top="0.55118110236220474" bottom="0.55118110236220474" header="0.31496062992125984" footer="0.31496062992125984"/>
  <pageSetup paperSize="9" scale="91"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B1:N30"/>
  <sheetViews>
    <sheetView rightToLeft="1" view="pageBreakPreview" zoomScale="110" zoomScaleNormal="100" zoomScaleSheetLayoutView="110" workbookViewId="0">
      <selection activeCell="G33" sqref="G33"/>
    </sheetView>
  </sheetViews>
  <sheetFormatPr defaultColWidth="9.140625" defaultRowHeight="21.75" customHeight="1"/>
  <cols>
    <col min="1" max="1" width="1.28515625" style="39" customWidth="1"/>
    <col min="2" max="5" width="18.42578125" style="39" customWidth="1"/>
    <col min="6" max="6" width="13" style="39" customWidth="1"/>
    <col min="7" max="7" width="13.5703125" style="39" customWidth="1"/>
    <col min="8" max="8" width="14.7109375" style="39" customWidth="1"/>
    <col min="9" max="9" width="17.28515625" style="39" customWidth="1"/>
    <col min="10" max="10" width="1.140625" style="39" customWidth="1"/>
    <col min="11" max="11" width="15.7109375" style="39" customWidth="1"/>
    <col min="12" max="12" width="0.85546875" style="39" customWidth="1"/>
    <col min="13" max="13" width="4.85546875" style="39" customWidth="1"/>
    <col min="14" max="14" width="14.140625" style="39" customWidth="1"/>
    <col min="15" max="16384" width="9.140625" style="39"/>
  </cols>
  <sheetData>
    <row r="1" spans="2:11" ht="45" customHeight="1">
      <c r="B1" s="1072" t="s">
        <v>527</v>
      </c>
      <c r="C1" s="1072"/>
      <c r="D1" s="1072"/>
      <c r="E1" s="1072"/>
    </row>
    <row r="2" spans="2:11" s="142" customFormat="1" ht="27" customHeight="1" thickBot="1">
      <c r="B2" s="1073" t="s">
        <v>342</v>
      </c>
      <c r="C2" s="1073"/>
      <c r="D2" s="1073"/>
      <c r="E2" s="1073"/>
    </row>
    <row r="3" spans="2:11" s="9" customFormat="1" ht="37.5" customHeight="1" thickTop="1">
      <c r="B3" s="151" t="s">
        <v>57</v>
      </c>
      <c r="C3" s="151" t="s">
        <v>322</v>
      </c>
      <c r="D3" s="151" t="s">
        <v>323</v>
      </c>
      <c r="E3" s="151" t="s">
        <v>324</v>
      </c>
      <c r="G3" s="543">
        <v>2185</v>
      </c>
      <c r="H3" s="543">
        <v>378</v>
      </c>
      <c r="I3" s="934">
        <f>H3/G3*100</f>
        <v>17.299771167048057</v>
      </c>
      <c r="K3" s="934"/>
    </row>
    <row r="4" spans="2:11" s="9" customFormat="1" ht="27.75" customHeight="1">
      <c r="B4" s="205" t="s">
        <v>58</v>
      </c>
      <c r="C4" s="543">
        <v>2185</v>
      </c>
      <c r="D4" s="543">
        <v>378</v>
      </c>
      <c r="E4" s="936">
        <f>D4/C4*100</f>
        <v>17.299771167048057</v>
      </c>
      <c r="G4" s="544">
        <v>2535</v>
      </c>
      <c r="H4" s="544">
        <v>159</v>
      </c>
      <c r="I4" s="934">
        <f t="shared" ref="I4:I18" si="0">H4/G4*100</f>
        <v>6.272189349112427</v>
      </c>
    </row>
    <row r="5" spans="2:11" s="9" customFormat="1" ht="27.75" customHeight="1">
      <c r="B5" s="205" t="s">
        <v>59</v>
      </c>
      <c r="C5" s="544">
        <v>2535</v>
      </c>
      <c r="D5" s="544">
        <v>159</v>
      </c>
      <c r="E5" s="937">
        <f t="shared" ref="E5:E18" si="1">D5/C5*100</f>
        <v>6.272189349112427</v>
      </c>
      <c r="G5" s="544">
        <v>3529</v>
      </c>
      <c r="H5" s="544">
        <v>667</v>
      </c>
      <c r="I5" s="934">
        <f t="shared" si="0"/>
        <v>18.900538396146217</v>
      </c>
    </row>
    <row r="6" spans="2:11" s="9" customFormat="1" ht="27.75" customHeight="1">
      <c r="B6" s="207" t="s">
        <v>60</v>
      </c>
      <c r="C6" s="544">
        <v>3529</v>
      </c>
      <c r="D6" s="544">
        <v>667</v>
      </c>
      <c r="E6" s="937">
        <f t="shared" si="1"/>
        <v>18.900538396146217</v>
      </c>
      <c r="G6" s="544">
        <v>1450</v>
      </c>
      <c r="H6" s="544">
        <v>136</v>
      </c>
      <c r="I6" s="934">
        <f t="shared" si="0"/>
        <v>9.3793103448275872</v>
      </c>
    </row>
    <row r="7" spans="2:11" s="9" customFormat="1" ht="27.75" customHeight="1">
      <c r="B7" s="207" t="s">
        <v>296</v>
      </c>
      <c r="C7" s="544">
        <v>1450</v>
      </c>
      <c r="D7" s="544">
        <v>136</v>
      </c>
      <c r="E7" s="937">
        <f t="shared" si="1"/>
        <v>9.3793103448275872</v>
      </c>
      <c r="G7" s="544">
        <v>4988</v>
      </c>
      <c r="H7" s="544">
        <v>784</v>
      </c>
      <c r="I7" s="934">
        <f>H7/G7*100</f>
        <v>15.717722534081796</v>
      </c>
    </row>
    <row r="8" spans="2:11" s="9" customFormat="1" ht="27.75" customHeight="1">
      <c r="B8" s="210" t="s">
        <v>325</v>
      </c>
      <c r="C8" s="544">
        <v>4988</v>
      </c>
      <c r="D8" s="544">
        <v>784</v>
      </c>
      <c r="E8" s="937">
        <f>D8/C8*100</f>
        <v>15.717722534081796</v>
      </c>
      <c r="G8" s="544">
        <v>6120</v>
      </c>
      <c r="H8" s="544">
        <v>603</v>
      </c>
      <c r="I8" s="934">
        <f t="shared" si="0"/>
        <v>9.8529411764705888</v>
      </c>
    </row>
    <row r="9" spans="2:11" s="9" customFormat="1" ht="27.75" customHeight="1">
      <c r="B9" s="210" t="s">
        <v>64</v>
      </c>
      <c r="C9" s="544">
        <v>6120</v>
      </c>
      <c r="D9" s="544">
        <v>603</v>
      </c>
      <c r="E9" s="937">
        <f t="shared" si="1"/>
        <v>9.8529411764705888</v>
      </c>
      <c r="G9" s="544">
        <v>2365</v>
      </c>
      <c r="H9" s="544">
        <v>555</v>
      </c>
      <c r="I9" s="934">
        <f t="shared" si="0"/>
        <v>23.467230443974628</v>
      </c>
    </row>
    <row r="10" spans="2:11" s="9" customFormat="1" ht="27.75" customHeight="1">
      <c r="B10" s="210" t="s">
        <v>56</v>
      </c>
      <c r="C10" s="544">
        <v>2365</v>
      </c>
      <c r="D10" s="544">
        <v>555</v>
      </c>
      <c r="E10" s="937">
        <f t="shared" si="1"/>
        <v>23.467230443974628</v>
      </c>
      <c r="G10" s="544">
        <v>3519</v>
      </c>
      <c r="H10" s="544">
        <v>876</v>
      </c>
      <c r="I10" s="934">
        <f t="shared" si="0"/>
        <v>24.893435635123616</v>
      </c>
    </row>
    <row r="11" spans="2:11" s="9" customFormat="1" ht="27.75" customHeight="1">
      <c r="B11" s="210" t="s">
        <v>63</v>
      </c>
      <c r="C11" s="544">
        <v>3519</v>
      </c>
      <c r="D11" s="544">
        <v>876</v>
      </c>
      <c r="E11" s="937">
        <f t="shared" si="1"/>
        <v>24.893435635123616</v>
      </c>
      <c r="G11" s="544">
        <v>929</v>
      </c>
      <c r="H11" s="544">
        <v>290</v>
      </c>
      <c r="I11" s="934">
        <f t="shared" si="0"/>
        <v>31.216361679224974</v>
      </c>
    </row>
    <row r="12" spans="2:11" s="9" customFormat="1" ht="27.75" customHeight="1">
      <c r="B12" s="213" t="s">
        <v>61</v>
      </c>
      <c r="C12" s="544">
        <v>929</v>
      </c>
      <c r="D12" s="544">
        <v>290</v>
      </c>
      <c r="E12" s="937">
        <f t="shared" si="1"/>
        <v>31.216361679224974</v>
      </c>
      <c r="G12" s="544">
        <v>2545</v>
      </c>
      <c r="H12" s="544">
        <v>397</v>
      </c>
      <c r="I12" s="934">
        <f t="shared" si="0"/>
        <v>15.599214145383103</v>
      </c>
    </row>
    <row r="13" spans="2:11" s="9" customFormat="1" ht="27.75" customHeight="1">
      <c r="B13" s="213" t="s">
        <v>65</v>
      </c>
      <c r="C13" s="544">
        <v>2545</v>
      </c>
      <c r="D13" s="544">
        <v>397</v>
      </c>
      <c r="E13" s="937">
        <f t="shared" si="1"/>
        <v>15.599214145383103</v>
      </c>
      <c r="G13" s="544">
        <v>3077</v>
      </c>
      <c r="H13" s="544">
        <v>945</v>
      </c>
      <c r="I13" s="934">
        <f t="shared" si="0"/>
        <v>30.71173220669483</v>
      </c>
    </row>
    <row r="14" spans="2:11" s="9" customFormat="1" ht="27.75" customHeight="1">
      <c r="B14" s="213" t="s">
        <v>66</v>
      </c>
      <c r="C14" s="544">
        <v>3077</v>
      </c>
      <c r="D14" s="544">
        <v>945</v>
      </c>
      <c r="E14" s="937">
        <f t="shared" si="1"/>
        <v>30.71173220669483</v>
      </c>
      <c r="G14" s="544">
        <v>1845</v>
      </c>
      <c r="H14" s="544">
        <v>456</v>
      </c>
      <c r="I14" s="934">
        <f t="shared" si="0"/>
        <v>24.715447154471544</v>
      </c>
    </row>
    <row r="15" spans="2:11" s="9" customFormat="1" ht="27.75" customHeight="1">
      <c r="B15" s="213" t="s">
        <v>67</v>
      </c>
      <c r="C15" s="544">
        <v>1845</v>
      </c>
      <c r="D15" s="544">
        <v>456</v>
      </c>
      <c r="E15" s="937">
        <f t="shared" si="1"/>
        <v>24.715447154471544</v>
      </c>
      <c r="G15" s="544">
        <v>2153</v>
      </c>
      <c r="H15" s="544">
        <v>1050</v>
      </c>
      <c r="I15" s="934">
        <f t="shared" si="0"/>
        <v>48.769159312587092</v>
      </c>
    </row>
    <row r="16" spans="2:11" s="9" customFormat="1" ht="27.75" customHeight="1">
      <c r="B16" s="213" t="s">
        <v>68</v>
      </c>
      <c r="C16" s="544">
        <v>2153</v>
      </c>
      <c r="D16" s="544">
        <v>1050</v>
      </c>
      <c r="E16" s="937">
        <f t="shared" si="1"/>
        <v>48.769159312587092</v>
      </c>
      <c r="G16" s="544">
        <v>1965</v>
      </c>
      <c r="H16" s="544">
        <v>14</v>
      </c>
      <c r="I16" s="934">
        <f t="shared" si="0"/>
        <v>0.71246819338422396</v>
      </c>
    </row>
    <row r="17" spans="2:14" s="9" customFormat="1" ht="27.75" customHeight="1" thickBot="1">
      <c r="B17" s="213" t="s">
        <v>69</v>
      </c>
      <c r="C17" s="544">
        <v>1965</v>
      </c>
      <c r="D17" s="544">
        <v>14</v>
      </c>
      <c r="E17" s="937">
        <f t="shared" si="1"/>
        <v>0.71246819338422396</v>
      </c>
      <c r="G17" s="544">
        <v>1286</v>
      </c>
      <c r="H17" s="544">
        <v>84</v>
      </c>
      <c r="I17" s="934">
        <f t="shared" si="0"/>
        <v>6.5318818040435458</v>
      </c>
    </row>
    <row r="18" spans="2:14" s="9" customFormat="1" ht="27.75" customHeight="1" thickTop="1" thickBot="1">
      <c r="B18" s="216" t="s">
        <v>70</v>
      </c>
      <c r="C18" s="544">
        <v>1286</v>
      </c>
      <c r="D18" s="544">
        <v>84</v>
      </c>
      <c r="E18" s="937">
        <f t="shared" si="1"/>
        <v>6.5318818040435458</v>
      </c>
      <c r="G18" s="545">
        <f>SUM(G3:G17)</f>
        <v>40491</v>
      </c>
      <c r="H18" s="545">
        <f>SUM(H3:H17)</f>
        <v>7394</v>
      </c>
      <c r="I18" s="934">
        <f t="shared" si="0"/>
        <v>18.260848089698946</v>
      </c>
    </row>
    <row r="19" spans="2:14" s="9" customFormat="1" ht="27.75" customHeight="1" thickTop="1" thickBot="1">
      <c r="B19" s="222" t="s">
        <v>280</v>
      </c>
      <c r="C19" s="545">
        <f>SUM(C4:C18)</f>
        <v>40491</v>
      </c>
      <c r="D19" s="545">
        <f>SUM(D4:D18)</f>
        <v>7394</v>
      </c>
      <c r="E19" s="935">
        <f>D19/C19*100</f>
        <v>18.260848089698946</v>
      </c>
    </row>
    <row r="20" spans="2:14" s="675" customFormat="1" ht="7.5" customHeight="1" thickTop="1">
      <c r="B20" s="465"/>
      <c r="C20" s="676"/>
      <c r="D20" s="676"/>
      <c r="E20" s="677"/>
    </row>
    <row r="21" spans="2:14" s="340" customFormat="1" ht="21" customHeight="1">
      <c r="B21" s="1075" t="s">
        <v>444</v>
      </c>
      <c r="C21" s="1075"/>
      <c r="D21" s="1075"/>
      <c r="E21" s="1075"/>
    </row>
    <row r="22" spans="2:14" s="9" customFormat="1" ht="17.25" customHeight="1">
      <c r="B22" s="1178"/>
      <c r="C22" s="1178"/>
      <c r="D22" s="1178"/>
      <c r="E22" s="674"/>
      <c r="F22" s="340"/>
      <c r="G22" s="340"/>
      <c r="H22" s="340"/>
      <c r="I22" s="340"/>
      <c r="J22" s="340"/>
      <c r="K22" s="340"/>
      <c r="L22" s="340"/>
      <c r="M22" s="340"/>
      <c r="N22" s="340"/>
    </row>
    <row r="24" spans="2:14" s="9" customFormat="1" ht="21.75" customHeight="1">
      <c r="B24" s="388"/>
      <c r="C24" s="388"/>
      <c r="D24" s="390"/>
      <c r="E24" s="341"/>
      <c r="F24" s="340"/>
      <c r="G24" s="340"/>
      <c r="H24" s="340"/>
      <c r="I24" s="340"/>
      <c r="J24" s="340"/>
      <c r="K24" s="340"/>
      <c r="L24" s="340"/>
      <c r="M24" s="340"/>
      <c r="N24" s="340"/>
    </row>
    <row r="25" spans="2:14" s="9" customFormat="1" ht="21.75" customHeight="1">
      <c r="B25" s="388"/>
      <c r="C25" s="388"/>
      <c r="D25" s="390"/>
      <c r="E25" s="341"/>
      <c r="F25" s="340"/>
      <c r="G25" s="340"/>
      <c r="H25" s="340"/>
      <c r="I25" s="340"/>
      <c r="J25" s="340"/>
      <c r="K25" s="340"/>
      <c r="L25" s="340"/>
      <c r="M25" s="340"/>
      <c r="N25" s="340"/>
    </row>
    <row r="26" spans="2:14" s="9" customFormat="1" ht="21.75" customHeight="1">
      <c r="B26" s="388"/>
      <c r="C26" s="388"/>
      <c r="D26" s="390"/>
      <c r="E26" s="341"/>
      <c r="F26" s="340"/>
      <c r="G26" s="340"/>
      <c r="H26" s="340"/>
      <c r="I26" s="340"/>
      <c r="J26" s="340"/>
      <c r="K26" s="340"/>
      <c r="L26" s="340"/>
      <c r="M26" s="340"/>
      <c r="N26" s="340"/>
    </row>
    <row r="27" spans="2:14" s="9" customFormat="1" ht="21.75" customHeight="1">
      <c r="B27" s="388"/>
      <c r="C27" s="388"/>
      <c r="D27" s="390"/>
      <c r="E27" s="341"/>
      <c r="F27" s="340"/>
      <c r="G27" s="340"/>
      <c r="H27" s="340"/>
      <c r="I27" s="340"/>
      <c r="J27" s="340"/>
      <c r="K27" s="340"/>
      <c r="L27" s="340"/>
      <c r="M27" s="340"/>
      <c r="N27" s="340"/>
    </row>
    <row r="28" spans="2:14" s="9" customFormat="1" ht="21.75" customHeight="1">
      <c r="B28" s="388"/>
      <c r="C28" s="388"/>
      <c r="D28" s="390"/>
      <c r="E28" s="341"/>
      <c r="F28" s="340"/>
      <c r="G28" s="340"/>
      <c r="H28" s="340"/>
      <c r="I28" s="340"/>
      <c r="J28" s="340"/>
      <c r="K28" s="340"/>
      <c r="L28" s="340"/>
      <c r="M28" s="340"/>
      <c r="N28" s="340"/>
    </row>
    <row r="29" spans="2:14" s="9" customFormat="1" ht="40.5" customHeight="1">
      <c r="B29" s="388"/>
      <c r="C29" s="388"/>
      <c r="D29" s="390"/>
      <c r="E29" s="341"/>
      <c r="F29" s="340"/>
      <c r="G29" s="340"/>
      <c r="H29" s="340"/>
      <c r="I29" s="340"/>
      <c r="J29" s="340"/>
      <c r="K29" s="340"/>
      <c r="L29" s="340"/>
      <c r="M29" s="340"/>
      <c r="N29" s="340"/>
    </row>
    <row r="30" spans="2:14" s="9" customFormat="1" ht="21.75" customHeight="1">
      <c r="B30" s="389" t="s">
        <v>204</v>
      </c>
      <c r="C30" s="389"/>
      <c r="D30" s="389"/>
      <c r="E30" s="869">
        <v>44</v>
      </c>
      <c r="F30" s="144"/>
      <c r="G30" s="340"/>
      <c r="H30" s="342"/>
      <c r="I30" s="343"/>
      <c r="J30" s="98"/>
      <c r="K30" s="98"/>
      <c r="L30" s="98">
        <v>61</v>
      </c>
    </row>
  </sheetData>
  <mergeCells count="4">
    <mergeCell ref="B1:E1"/>
    <mergeCell ref="B2:E2"/>
    <mergeCell ref="B21:E21"/>
    <mergeCell ref="B22:D22"/>
  </mergeCells>
  <printOptions horizontalCentered="1"/>
  <pageMargins left="0.7" right="0.7" top="0.75" bottom="0.2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B1:O23"/>
  <sheetViews>
    <sheetView rightToLeft="1" view="pageBreakPreview" topLeftCell="B1" zoomScaleSheetLayoutView="100" workbookViewId="0">
      <selection activeCell="M22" sqref="M22"/>
    </sheetView>
  </sheetViews>
  <sheetFormatPr defaultRowHeight="15"/>
  <cols>
    <col min="1" max="1" width="0.7109375" customWidth="1"/>
    <col min="2" max="2" width="12.5703125" customWidth="1"/>
    <col min="3" max="5" width="13.5703125" customWidth="1"/>
    <col min="6" max="6" width="1.28515625" customWidth="1"/>
    <col min="7" max="9" width="13.5703125" customWidth="1"/>
    <col min="10" max="10" width="1.42578125" customWidth="1"/>
    <col min="11" max="13" width="13.42578125" customWidth="1"/>
  </cols>
  <sheetData>
    <row r="1" spans="2:15" ht="21" customHeight="1">
      <c r="B1" s="1180" t="s">
        <v>528</v>
      </c>
      <c r="C1" s="1180"/>
      <c r="D1" s="1180"/>
      <c r="E1" s="1180"/>
      <c r="F1" s="1180"/>
      <c r="G1" s="1180"/>
      <c r="H1" s="1180"/>
      <c r="I1" s="1180"/>
      <c r="J1" s="1180"/>
      <c r="K1" s="1180"/>
      <c r="L1" s="1180"/>
    </row>
    <row r="2" spans="2:15" ht="26.25" customHeight="1">
      <c r="B2" s="148" t="s">
        <v>343</v>
      </c>
      <c r="C2" s="547"/>
      <c r="D2" s="547"/>
      <c r="E2" s="547"/>
      <c r="F2" s="547"/>
      <c r="G2" s="547"/>
      <c r="H2" s="547"/>
      <c r="I2" s="547"/>
      <c r="J2" s="547"/>
      <c r="K2" s="547"/>
      <c r="L2" s="29"/>
    </row>
    <row r="3" spans="2:15" ht="30.75" customHeight="1">
      <c r="B3" s="1181" t="s">
        <v>75</v>
      </c>
      <c r="C3" s="1186" t="s">
        <v>393</v>
      </c>
      <c r="D3" s="1186"/>
      <c r="E3" s="1186"/>
      <c r="F3" s="1187"/>
      <c r="G3" s="1186"/>
      <c r="H3" s="1186"/>
      <c r="I3" s="1186"/>
      <c r="J3" s="1187"/>
      <c r="K3" s="1186"/>
      <c r="L3" s="1186"/>
      <c r="M3" s="1186"/>
    </row>
    <row r="4" spans="2:15" ht="21" customHeight="1">
      <c r="B4" s="1182"/>
      <c r="C4" s="1184" t="s">
        <v>76</v>
      </c>
      <c r="D4" s="1184"/>
      <c r="E4" s="1184"/>
      <c r="F4" s="1189"/>
      <c r="G4" s="1184" t="s">
        <v>77</v>
      </c>
      <c r="H4" s="1184"/>
      <c r="I4" s="1184"/>
      <c r="J4" s="1189"/>
      <c r="K4" s="1184" t="s">
        <v>78</v>
      </c>
      <c r="L4" s="1184"/>
      <c r="M4" s="1184"/>
      <c r="N4" s="30"/>
      <c r="O4" s="30"/>
    </row>
    <row r="5" spans="2:15" ht="26.25" customHeight="1">
      <c r="B5" s="1182"/>
      <c r="C5" s="1185" t="s">
        <v>318</v>
      </c>
      <c r="D5" s="1185"/>
      <c r="E5" s="1185"/>
      <c r="F5" s="1189"/>
      <c r="G5" s="1185" t="s">
        <v>319</v>
      </c>
      <c r="H5" s="1185"/>
      <c r="I5" s="1185"/>
      <c r="J5" s="1189"/>
      <c r="K5" s="1188" t="s">
        <v>179</v>
      </c>
      <c r="L5" s="1188"/>
      <c r="M5" s="1188"/>
      <c r="N5" s="79" t="s">
        <v>81</v>
      </c>
    </row>
    <row r="6" spans="2:15" ht="21" customHeight="1">
      <c r="B6" s="1183"/>
      <c r="C6" s="328" t="s">
        <v>79</v>
      </c>
      <c r="D6" s="328" t="s">
        <v>80</v>
      </c>
      <c r="E6" s="162" t="s">
        <v>93</v>
      </c>
      <c r="F6" s="1120"/>
      <c r="G6" s="328" t="s">
        <v>79</v>
      </c>
      <c r="H6" s="328" t="s">
        <v>80</v>
      </c>
      <c r="I6" s="162" t="s">
        <v>93</v>
      </c>
      <c r="J6" s="1120"/>
      <c r="K6" s="328" t="s">
        <v>79</v>
      </c>
      <c r="L6" s="328" t="s">
        <v>80</v>
      </c>
      <c r="M6" s="162" t="s">
        <v>93</v>
      </c>
      <c r="N6" s="80" t="s">
        <v>82</v>
      </c>
    </row>
    <row r="7" spans="2:15" ht="29.25" customHeight="1">
      <c r="B7" s="79" t="s">
        <v>81</v>
      </c>
      <c r="C7" s="76">
        <v>100</v>
      </c>
      <c r="D7" s="76">
        <v>2750</v>
      </c>
      <c r="E7" s="76">
        <v>815</v>
      </c>
      <c r="F7" s="76"/>
      <c r="G7" s="76">
        <v>110</v>
      </c>
      <c r="H7" s="76">
        <v>2200</v>
      </c>
      <c r="I7" s="76">
        <v>749</v>
      </c>
      <c r="J7" s="76"/>
      <c r="K7" s="76">
        <v>20</v>
      </c>
      <c r="L7" s="76">
        <v>1400</v>
      </c>
      <c r="M7" s="76">
        <v>340</v>
      </c>
      <c r="N7" s="80" t="s">
        <v>83</v>
      </c>
    </row>
    <row r="8" spans="2:15" ht="29.25" customHeight="1">
      <c r="B8" s="80" t="s">
        <v>82</v>
      </c>
      <c r="C8" s="77">
        <v>3700</v>
      </c>
      <c r="D8" s="77">
        <v>12000</v>
      </c>
      <c r="E8" s="77">
        <v>7244</v>
      </c>
      <c r="F8" s="77"/>
      <c r="G8" s="77">
        <v>24000</v>
      </c>
      <c r="H8" s="77">
        <v>92000</v>
      </c>
      <c r="I8" s="77">
        <v>50622</v>
      </c>
      <c r="J8" s="77"/>
      <c r="K8" s="77">
        <v>24000</v>
      </c>
      <c r="L8" s="77">
        <v>92000</v>
      </c>
      <c r="M8" s="77">
        <v>44219</v>
      </c>
      <c r="N8" s="80" t="s">
        <v>84</v>
      </c>
    </row>
    <row r="9" spans="2:15" ht="29.25" customHeight="1">
      <c r="B9" s="80" t="s">
        <v>351</v>
      </c>
      <c r="C9" s="77">
        <v>325</v>
      </c>
      <c r="D9" s="77">
        <v>3750</v>
      </c>
      <c r="E9" s="77">
        <v>2571</v>
      </c>
      <c r="F9" s="77"/>
      <c r="G9" s="77">
        <v>330</v>
      </c>
      <c r="H9" s="77">
        <v>4900</v>
      </c>
      <c r="I9" s="77">
        <v>1645</v>
      </c>
      <c r="J9" s="77"/>
      <c r="K9" s="77">
        <v>230</v>
      </c>
      <c r="L9" s="77">
        <v>3300</v>
      </c>
      <c r="M9" s="77">
        <v>1069</v>
      </c>
      <c r="N9" s="80"/>
    </row>
    <row r="10" spans="2:15" ht="29.25" customHeight="1">
      <c r="B10" s="80" t="s">
        <v>83</v>
      </c>
      <c r="C10" s="77">
        <v>6000</v>
      </c>
      <c r="D10" s="77">
        <v>6000</v>
      </c>
      <c r="E10" s="77">
        <v>6000</v>
      </c>
      <c r="F10" s="77"/>
      <c r="G10" s="77">
        <v>24000</v>
      </c>
      <c r="H10" s="77">
        <v>24000</v>
      </c>
      <c r="I10" s="77">
        <v>24000</v>
      </c>
      <c r="J10" s="77"/>
      <c r="K10" s="77">
        <v>24000</v>
      </c>
      <c r="L10" s="77">
        <v>24000</v>
      </c>
      <c r="M10" s="77">
        <v>24000</v>
      </c>
      <c r="N10" s="80" t="s">
        <v>85</v>
      </c>
    </row>
    <row r="11" spans="2:15" ht="29.25" customHeight="1">
      <c r="B11" s="80" t="s">
        <v>207</v>
      </c>
      <c r="C11" s="77">
        <v>2500</v>
      </c>
      <c r="D11" s="77">
        <v>90000</v>
      </c>
      <c r="E11" s="77">
        <v>21587</v>
      </c>
      <c r="F11" s="77"/>
      <c r="G11" s="77">
        <v>4900</v>
      </c>
      <c r="H11" s="77">
        <v>540000</v>
      </c>
      <c r="I11" s="77">
        <v>61612</v>
      </c>
      <c r="J11" s="77"/>
      <c r="K11" s="77">
        <v>4900</v>
      </c>
      <c r="L11" s="77">
        <v>540000</v>
      </c>
      <c r="M11" s="77">
        <v>60362</v>
      </c>
      <c r="N11" s="80" t="s">
        <v>66</v>
      </c>
    </row>
    <row r="12" spans="2:15" ht="29.25" customHeight="1">
      <c r="B12" s="80" t="s">
        <v>85</v>
      </c>
      <c r="C12" s="77">
        <v>4350</v>
      </c>
      <c r="D12" s="77">
        <v>11000</v>
      </c>
      <c r="E12" s="77">
        <v>7034</v>
      </c>
      <c r="F12" s="77"/>
      <c r="G12" s="77">
        <v>4900</v>
      </c>
      <c r="H12" s="77">
        <v>130000</v>
      </c>
      <c r="I12" s="77">
        <v>26607</v>
      </c>
      <c r="J12" s="77"/>
      <c r="K12" s="77">
        <v>3300</v>
      </c>
      <c r="L12" s="77">
        <v>79000</v>
      </c>
      <c r="M12" s="77">
        <v>17549</v>
      </c>
      <c r="N12" s="80" t="s">
        <v>86</v>
      </c>
    </row>
    <row r="13" spans="2:15" ht="29.25" customHeight="1">
      <c r="B13" s="80" t="s">
        <v>84</v>
      </c>
      <c r="C13" s="77">
        <v>2000</v>
      </c>
      <c r="D13" s="77">
        <v>25000</v>
      </c>
      <c r="E13" s="77">
        <v>8664</v>
      </c>
      <c r="F13" s="77"/>
      <c r="G13" s="77">
        <v>2300</v>
      </c>
      <c r="H13" s="77">
        <v>54000</v>
      </c>
      <c r="I13" s="77">
        <v>14039</v>
      </c>
      <c r="J13" s="77"/>
      <c r="K13" s="77">
        <v>1300</v>
      </c>
      <c r="L13" s="77">
        <v>35000</v>
      </c>
      <c r="M13" s="77">
        <v>9461</v>
      </c>
      <c r="N13" s="81" t="s">
        <v>87</v>
      </c>
    </row>
    <row r="14" spans="2:15" ht="29.25" customHeight="1" thickBot="1">
      <c r="B14" s="80" t="s">
        <v>184</v>
      </c>
      <c r="C14" s="77">
        <v>4500</v>
      </c>
      <c r="D14" s="77">
        <v>8000</v>
      </c>
      <c r="E14" s="77">
        <v>5686</v>
      </c>
      <c r="F14" s="77"/>
      <c r="G14" s="77">
        <v>13000</v>
      </c>
      <c r="H14" s="77">
        <v>54000</v>
      </c>
      <c r="I14" s="77">
        <v>18333</v>
      </c>
      <c r="J14" s="77"/>
      <c r="K14" s="77">
        <v>13000</v>
      </c>
      <c r="L14" s="77">
        <v>35000</v>
      </c>
      <c r="M14" s="77">
        <v>27143</v>
      </c>
      <c r="N14" s="82" t="s">
        <v>88</v>
      </c>
    </row>
    <row r="15" spans="2:15" ht="29.25" customHeight="1" thickTop="1">
      <c r="B15" s="80" t="s">
        <v>66</v>
      </c>
      <c r="C15" s="77">
        <v>2925</v>
      </c>
      <c r="D15" s="77">
        <v>17500</v>
      </c>
      <c r="E15" s="77">
        <v>5280</v>
      </c>
      <c r="F15" s="77"/>
      <c r="G15" s="77">
        <v>11000</v>
      </c>
      <c r="H15" s="77">
        <v>170000</v>
      </c>
      <c r="I15" s="77">
        <v>54110</v>
      </c>
      <c r="J15" s="77"/>
      <c r="K15" s="77">
        <v>11000</v>
      </c>
      <c r="L15" s="77">
        <v>170000</v>
      </c>
      <c r="M15" s="77">
        <v>41439</v>
      </c>
    </row>
    <row r="16" spans="2:15" ht="29.25" customHeight="1">
      <c r="B16" s="80" t="s">
        <v>86</v>
      </c>
      <c r="C16" s="77">
        <v>3010</v>
      </c>
      <c r="D16" s="77">
        <v>40000</v>
      </c>
      <c r="E16" s="77">
        <v>6107</v>
      </c>
      <c r="F16" s="77"/>
      <c r="G16" s="77">
        <v>35000</v>
      </c>
      <c r="H16" s="77">
        <v>350000</v>
      </c>
      <c r="I16" s="77">
        <v>105813</v>
      </c>
      <c r="J16" s="77"/>
      <c r="K16" s="77">
        <v>33000</v>
      </c>
      <c r="L16" s="77">
        <v>240000</v>
      </c>
      <c r="M16" s="77">
        <v>55936</v>
      </c>
    </row>
    <row r="17" spans="2:14" ht="29.25" customHeight="1">
      <c r="B17" s="81" t="s">
        <v>87</v>
      </c>
      <c r="C17" s="128">
        <v>15000</v>
      </c>
      <c r="D17" s="128">
        <v>45000</v>
      </c>
      <c r="E17" s="128">
        <v>19639</v>
      </c>
      <c r="F17" s="128"/>
      <c r="G17" s="128">
        <v>11000</v>
      </c>
      <c r="H17" s="128">
        <v>350000</v>
      </c>
      <c r="I17" s="128">
        <v>67475</v>
      </c>
      <c r="J17" s="128"/>
      <c r="K17" s="128">
        <v>11000</v>
      </c>
      <c r="L17" s="128">
        <v>350000</v>
      </c>
      <c r="M17" s="128">
        <v>66544</v>
      </c>
    </row>
    <row r="18" spans="2:14" ht="29.25" customHeight="1" thickBot="1">
      <c r="B18" s="82" t="s">
        <v>88</v>
      </c>
      <c r="C18" s="78">
        <v>11500</v>
      </c>
      <c r="D18" s="78">
        <v>75000</v>
      </c>
      <c r="E18" s="78">
        <v>18858</v>
      </c>
      <c r="F18" s="78"/>
      <c r="G18" s="78">
        <v>33000</v>
      </c>
      <c r="H18" s="78">
        <v>240000</v>
      </c>
      <c r="I18" s="78">
        <v>50878</v>
      </c>
      <c r="J18" s="78"/>
      <c r="K18" s="78">
        <v>33000</v>
      </c>
      <c r="L18" s="78">
        <v>240000</v>
      </c>
      <c r="M18" s="78">
        <v>58922</v>
      </c>
    </row>
    <row r="19" spans="2:14" ht="6" customHeight="1" thickTop="1">
      <c r="B19" s="28"/>
      <c r="C19" s="28"/>
      <c r="D19" s="28"/>
      <c r="E19" s="28"/>
      <c r="F19" s="28"/>
      <c r="G19" s="28"/>
      <c r="H19" s="28"/>
      <c r="I19" s="28"/>
      <c r="J19" s="28"/>
      <c r="K19" s="28"/>
      <c r="L19" s="28"/>
    </row>
    <row r="20" spans="2:14" ht="21" customHeight="1">
      <c r="B20" s="1179" t="s">
        <v>203</v>
      </c>
      <c r="C20" s="1179"/>
      <c r="D20" s="1179"/>
      <c r="E20" s="1179"/>
      <c r="F20" s="1179"/>
      <c r="G20" s="1179"/>
      <c r="H20" s="1179"/>
      <c r="I20" s="1179"/>
      <c r="J20" s="1179"/>
      <c r="K20" s="1179"/>
      <c r="L20" s="1179"/>
    </row>
    <row r="21" spans="2:14" ht="42" customHeight="1"/>
    <row r="22" spans="2:14" ht="23.25" customHeight="1">
      <c r="B22" s="491" t="s">
        <v>204</v>
      </c>
      <c r="C22" s="491"/>
      <c r="D22" s="37"/>
      <c r="E22" s="37"/>
      <c r="F22" s="37"/>
      <c r="G22" s="491"/>
      <c r="H22" s="265"/>
      <c r="I22" s="265"/>
      <c r="J22" s="265"/>
      <c r="K22" s="265"/>
      <c r="L22" s="265"/>
      <c r="M22" s="754">
        <v>45</v>
      </c>
      <c r="N22" s="12"/>
    </row>
    <row r="23" spans="2:14">
      <c r="M23" s="12"/>
    </row>
  </sheetData>
  <mergeCells count="12">
    <mergeCell ref="B20:L20"/>
    <mergeCell ref="B1:L1"/>
    <mergeCell ref="B3:B6"/>
    <mergeCell ref="C4:E4"/>
    <mergeCell ref="C5:E5"/>
    <mergeCell ref="G4:I4"/>
    <mergeCell ref="G5:I5"/>
    <mergeCell ref="C3:M3"/>
    <mergeCell ref="K4:M4"/>
    <mergeCell ref="K5:M5"/>
    <mergeCell ref="F4:F6"/>
    <mergeCell ref="J4:J6"/>
  </mergeCells>
  <printOptions horizontalCentered="1"/>
  <pageMargins left="0.7" right="0.7" top="0.5" bottom="0.5" header="0.3" footer="0.3"/>
  <pageSetup paperSize="9" scale="9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B1:S360"/>
  <sheetViews>
    <sheetView rightToLeft="1" view="pageBreakPreview" zoomScaleSheetLayoutView="100" workbookViewId="0">
      <selection activeCell="D8" sqref="D8"/>
    </sheetView>
  </sheetViews>
  <sheetFormatPr defaultRowHeight="15"/>
  <cols>
    <col min="1" max="1" width="1.140625" customWidth="1"/>
    <col min="2" max="2" width="15.5703125" customWidth="1"/>
    <col min="3" max="3" width="23.28515625" customWidth="1"/>
    <col min="4" max="4" width="11.7109375" customWidth="1"/>
    <col min="5" max="6" width="11.7109375" style="12" customWidth="1"/>
    <col min="7" max="7" width="11.7109375" style="36" customWidth="1"/>
    <col min="8" max="8" width="0.85546875" style="12" customWidth="1"/>
    <col min="9" max="11" width="11.7109375" customWidth="1"/>
  </cols>
  <sheetData>
    <row r="1" spans="2:11" ht="30" customHeight="1">
      <c r="B1" s="1193" t="s">
        <v>529</v>
      </c>
      <c r="C1" s="1193"/>
      <c r="D1" s="1193"/>
      <c r="E1" s="1193"/>
      <c r="F1" s="1193"/>
      <c r="G1" s="1193"/>
      <c r="H1" s="1193"/>
      <c r="I1" s="1193"/>
      <c r="J1" s="1193"/>
      <c r="K1" s="1193"/>
    </row>
    <row r="2" spans="2:11" s="140" customFormat="1" ht="19.5" customHeight="1" thickBot="1">
      <c r="B2" s="1194" t="s">
        <v>380</v>
      </c>
      <c r="C2" s="1194"/>
      <c r="D2" s="1194"/>
      <c r="E2" s="1194"/>
      <c r="F2" s="1194"/>
      <c r="G2" s="1194"/>
      <c r="H2" s="1194"/>
      <c r="I2" s="1194"/>
      <c r="J2" s="1194"/>
      <c r="K2" s="1194"/>
    </row>
    <row r="3" spans="2:11" ht="27" customHeight="1" thickTop="1">
      <c r="B3" s="1068" t="s">
        <v>89</v>
      </c>
      <c r="C3" s="1068"/>
      <c r="D3" s="1116" t="s">
        <v>90</v>
      </c>
      <c r="E3" s="1111" t="s">
        <v>91</v>
      </c>
      <c r="F3" s="1111"/>
      <c r="G3" s="1111"/>
      <c r="H3" s="492"/>
      <c r="I3" s="1111" t="s">
        <v>92</v>
      </c>
      <c r="J3" s="1111"/>
      <c r="K3" s="1111"/>
    </row>
    <row r="4" spans="2:11" ht="27" customHeight="1">
      <c r="B4" s="1069"/>
      <c r="C4" s="1069"/>
      <c r="D4" s="1190"/>
      <c r="E4" s="162" t="s">
        <v>79</v>
      </c>
      <c r="F4" s="162" t="s">
        <v>80</v>
      </c>
      <c r="G4" s="162" t="s">
        <v>93</v>
      </c>
      <c r="H4" s="159"/>
      <c r="I4" s="162" t="s">
        <v>79</v>
      </c>
      <c r="J4" s="162" t="s">
        <v>80</v>
      </c>
      <c r="K4" s="162" t="s">
        <v>93</v>
      </c>
    </row>
    <row r="5" spans="2:11" ht="21" customHeight="1">
      <c r="B5" s="83" t="s">
        <v>94</v>
      </c>
      <c r="C5" s="109" t="s">
        <v>95</v>
      </c>
      <c r="D5" s="1284" t="s">
        <v>653</v>
      </c>
      <c r="E5" s="883" t="s">
        <v>310</v>
      </c>
      <c r="F5" s="883" t="s">
        <v>310</v>
      </c>
      <c r="G5" s="883" t="s">
        <v>310</v>
      </c>
      <c r="H5" s="883"/>
      <c r="I5" s="883" t="s">
        <v>310</v>
      </c>
      <c r="J5" s="133" t="s">
        <v>310</v>
      </c>
      <c r="K5" s="133" t="s">
        <v>310</v>
      </c>
    </row>
    <row r="6" spans="2:11" ht="21" customHeight="1">
      <c r="B6" s="84" t="s">
        <v>96</v>
      </c>
      <c r="C6" s="110" t="s">
        <v>97</v>
      </c>
      <c r="D6" s="874" t="s">
        <v>98</v>
      </c>
      <c r="E6" s="881">
        <v>9</v>
      </c>
      <c r="F6" s="881">
        <v>35</v>
      </c>
      <c r="G6" s="881">
        <v>23</v>
      </c>
      <c r="H6" s="881"/>
      <c r="I6" s="881">
        <v>9</v>
      </c>
      <c r="J6" s="134">
        <v>35</v>
      </c>
      <c r="K6" s="134">
        <v>23</v>
      </c>
    </row>
    <row r="7" spans="2:11" ht="21" customHeight="1">
      <c r="B7" s="84" t="s">
        <v>99</v>
      </c>
      <c r="C7" s="110" t="s">
        <v>185</v>
      </c>
      <c r="D7" s="874" t="s">
        <v>186</v>
      </c>
      <c r="E7" s="881">
        <v>9</v>
      </c>
      <c r="F7" s="881">
        <v>1400</v>
      </c>
      <c r="G7" s="881">
        <v>45</v>
      </c>
      <c r="H7" s="881"/>
      <c r="I7" s="876">
        <v>0.3</v>
      </c>
      <c r="J7" s="145">
        <v>25.9</v>
      </c>
      <c r="K7" s="145">
        <v>2.2000000000000002</v>
      </c>
    </row>
    <row r="8" spans="2:11" ht="21" customHeight="1">
      <c r="B8" s="84" t="s">
        <v>201</v>
      </c>
      <c r="C8" s="110" t="s">
        <v>101</v>
      </c>
      <c r="D8" s="1284" t="s">
        <v>653</v>
      </c>
      <c r="E8" s="876">
        <v>7.46</v>
      </c>
      <c r="F8" s="876">
        <v>8.5500000000000007</v>
      </c>
      <c r="G8" s="876">
        <v>7.97</v>
      </c>
      <c r="H8" s="876"/>
      <c r="I8" s="876">
        <v>6.84</v>
      </c>
      <c r="J8" s="146">
        <v>8.11</v>
      </c>
      <c r="K8" s="146">
        <v>7.53</v>
      </c>
    </row>
    <row r="9" spans="2:11" ht="21" customHeight="1">
      <c r="B9" s="84" t="s">
        <v>102</v>
      </c>
      <c r="C9" s="110" t="s">
        <v>180</v>
      </c>
      <c r="D9" s="111" t="s">
        <v>100</v>
      </c>
      <c r="E9" s="881">
        <v>97</v>
      </c>
      <c r="F9" s="881">
        <v>184</v>
      </c>
      <c r="G9" s="881">
        <v>145</v>
      </c>
      <c r="H9" s="881"/>
      <c r="I9" s="881">
        <v>90</v>
      </c>
      <c r="J9" s="134">
        <v>181</v>
      </c>
      <c r="K9" s="134">
        <v>137</v>
      </c>
    </row>
    <row r="10" spans="2:11" ht="21" customHeight="1">
      <c r="B10" s="84" t="s">
        <v>103</v>
      </c>
      <c r="C10" s="110" t="s">
        <v>390</v>
      </c>
      <c r="D10" s="111" t="s">
        <v>100</v>
      </c>
      <c r="E10" s="881">
        <v>226</v>
      </c>
      <c r="F10" s="881">
        <v>492</v>
      </c>
      <c r="G10" s="881">
        <v>312</v>
      </c>
      <c r="H10" s="881"/>
      <c r="I10" s="881">
        <v>208</v>
      </c>
      <c r="J10" s="134">
        <v>471</v>
      </c>
      <c r="K10" s="134">
        <v>315</v>
      </c>
    </row>
    <row r="11" spans="2:11" ht="21" customHeight="1">
      <c r="B11" s="84" t="s">
        <v>104</v>
      </c>
      <c r="C11" s="110" t="s">
        <v>105</v>
      </c>
      <c r="D11" s="111" t="s">
        <v>100</v>
      </c>
      <c r="E11" s="881">
        <v>48</v>
      </c>
      <c r="F11" s="881">
        <v>138</v>
      </c>
      <c r="G11" s="881">
        <v>79</v>
      </c>
      <c r="H11" s="881"/>
      <c r="I11" s="881">
        <v>49</v>
      </c>
      <c r="J11" s="134">
        <v>132</v>
      </c>
      <c r="K11" s="134">
        <v>80</v>
      </c>
    </row>
    <row r="12" spans="2:11" ht="21" customHeight="1">
      <c r="B12" s="84" t="s">
        <v>106</v>
      </c>
      <c r="C12" s="110" t="s">
        <v>107</v>
      </c>
      <c r="D12" s="111" t="s">
        <v>100</v>
      </c>
      <c r="E12" s="881">
        <v>16</v>
      </c>
      <c r="F12" s="881">
        <v>46</v>
      </c>
      <c r="G12" s="881">
        <v>28</v>
      </c>
      <c r="H12" s="881"/>
      <c r="I12" s="881">
        <v>15</v>
      </c>
      <c r="J12" s="134">
        <v>56</v>
      </c>
      <c r="K12" s="134">
        <v>28</v>
      </c>
    </row>
    <row r="13" spans="2:11" ht="21" customHeight="1">
      <c r="B13" s="84" t="s">
        <v>108</v>
      </c>
      <c r="C13" s="110" t="s">
        <v>109</v>
      </c>
      <c r="D13" s="111" t="s">
        <v>110</v>
      </c>
      <c r="E13" s="881">
        <v>29</v>
      </c>
      <c r="F13" s="881">
        <v>116</v>
      </c>
      <c r="G13" s="881">
        <v>62</v>
      </c>
      <c r="H13" s="881"/>
      <c r="I13" s="881">
        <v>30</v>
      </c>
      <c r="J13" s="134">
        <v>123</v>
      </c>
      <c r="K13" s="134">
        <v>64</v>
      </c>
    </row>
    <row r="14" spans="2:11" ht="21" customHeight="1">
      <c r="B14" s="84" t="s">
        <v>111</v>
      </c>
      <c r="C14" s="110" t="s">
        <v>112</v>
      </c>
      <c r="D14" s="111" t="s">
        <v>113</v>
      </c>
      <c r="E14" s="881">
        <v>485</v>
      </c>
      <c r="F14" s="881">
        <v>1414</v>
      </c>
      <c r="G14" s="881">
        <v>830</v>
      </c>
      <c r="H14" s="881"/>
      <c r="I14" s="881">
        <v>580</v>
      </c>
      <c r="J14" s="134">
        <v>1410</v>
      </c>
      <c r="K14" s="134">
        <v>837</v>
      </c>
    </row>
    <row r="15" spans="2:11" ht="21" customHeight="1">
      <c r="B15" s="84" t="s">
        <v>114</v>
      </c>
      <c r="C15" s="110" t="s">
        <v>115</v>
      </c>
      <c r="D15" s="111" t="s">
        <v>116</v>
      </c>
      <c r="E15" s="884" t="s">
        <v>386</v>
      </c>
      <c r="F15" s="876">
        <v>0.03</v>
      </c>
      <c r="G15" s="876">
        <v>0.01</v>
      </c>
      <c r="H15" s="881"/>
      <c r="I15" s="884" t="s">
        <v>386</v>
      </c>
      <c r="J15" s="146">
        <v>0.3</v>
      </c>
      <c r="K15" s="146">
        <v>0.09</v>
      </c>
    </row>
    <row r="16" spans="2:11" ht="25.5" customHeight="1">
      <c r="B16" s="80" t="s">
        <v>117</v>
      </c>
      <c r="C16" s="112" t="s">
        <v>118</v>
      </c>
      <c r="D16" s="111" t="s">
        <v>116</v>
      </c>
      <c r="E16" s="881">
        <v>360</v>
      </c>
      <c r="F16" s="881">
        <v>920</v>
      </c>
      <c r="G16" s="881">
        <v>545</v>
      </c>
      <c r="H16" s="881"/>
      <c r="I16" s="881">
        <v>362</v>
      </c>
      <c r="J16" s="134">
        <v>916</v>
      </c>
      <c r="K16" s="134">
        <v>550</v>
      </c>
    </row>
    <row r="17" spans="2:19" ht="21" customHeight="1">
      <c r="B17" s="84" t="s">
        <v>654</v>
      </c>
      <c r="C17" s="110" t="s">
        <v>119</v>
      </c>
      <c r="D17" s="111" t="s">
        <v>116</v>
      </c>
      <c r="E17" s="881">
        <v>12</v>
      </c>
      <c r="F17" s="881">
        <v>1430</v>
      </c>
      <c r="G17" s="881">
        <v>70</v>
      </c>
      <c r="H17" s="135"/>
      <c r="I17" s="1283" t="s">
        <v>350</v>
      </c>
      <c r="J17" s="1283" t="s">
        <v>350</v>
      </c>
      <c r="K17" s="1283" t="s">
        <v>350</v>
      </c>
    </row>
    <row r="18" spans="2:19" ht="21" customHeight="1">
      <c r="B18" s="84" t="s">
        <v>177</v>
      </c>
      <c r="C18" s="110" t="s">
        <v>120</v>
      </c>
      <c r="D18" s="111" t="s">
        <v>116</v>
      </c>
      <c r="E18" s="876">
        <v>0.02</v>
      </c>
      <c r="F18" s="876">
        <v>4.0999999999999996</v>
      </c>
      <c r="G18" s="876">
        <v>1.26</v>
      </c>
      <c r="H18" s="881"/>
      <c r="I18" s="884" t="s">
        <v>387</v>
      </c>
      <c r="J18" s="876">
        <v>0.34</v>
      </c>
      <c r="K18" s="876">
        <v>0.06</v>
      </c>
    </row>
    <row r="19" spans="2:19" ht="21" customHeight="1">
      <c r="B19" s="84" t="s">
        <v>121</v>
      </c>
      <c r="C19" s="110" t="s">
        <v>181</v>
      </c>
      <c r="D19" s="111" t="s">
        <v>116</v>
      </c>
      <c r="E19" s="881">
        <v>90</v>
      </c>
      <c r="F19" s="881">
        <v>362</v>
      </c>
      <c r="G19" s="881">
        <v>196</v>
      </c>
      <c r="H19" s="881"/>
      <c r="I19" s="881">
        <v>92</v>
      </c>
      <c r="J19" s="881">
        <v>372</v>
      </c>
      <c r="K19" s="881">
        <v>200</v>
      </c>
    </row>
    <row r="20" spans="2:19" ht="21" customHeight="1">
      <c r="B20" s="84" t="s">
        <v>122</v>
      </c>
      <c r="C20" s="110" t="s">
        <v>123</v>
      </c>
      <c r="D20" s="111" t="s">
        <v>116</v>
      </c>
      <c r="E20" s="876">
        <v>0.03</v>
      </c>
      <c r="F20" s="876">
        <v>0.4</v>
      </c>
      <c r="G20" s="876">
        <v>0.12</v>
      </c>
      <c r="H20" s="876"/>
      <c r="I20" s="876">
        <v>0.01</v>
      </c>
      <c r="J20" s="876">
        <v>0.23</v>
      </c>
      <c r="K20" s="876">
        <v>0.08</v>
      </c>
    </row>
    <row r="21" spans="2:19" ht="21" customHeight="1" thickBot="1">
      <c r="B21" s="85" t="s">
        <v>124</v>
      </c>
      <c r="C21" s="113" t="s">
        <v>187</v>
      </c>
      <c r="D21" s="114" t="s">
        <v>116</v>
      </c>
      <c r="E21" s="885">
        <v>0.01</v>
      </c>
      <c r="F21" s="886">
        <v>0.72</v>
      </c>
      <c r="G21" s="886">
        <v>0.15</v>
      </c>
      <c r="H21" s="887"/>
      <c r="I21" s="885" t="s">
        <v>386</v>
      </c>
      <c r="J21" s="886">
        <v>0.11</v>
      </c>
      <c r="K21" s="886">
        <v>0.02</v>
      </c>
    </row>
    <row r="22" spans="2:19" ht="18" customHeight="1" thickTop="1">
      <c r="B22" s="1191" t="s">
        <v>655</v>
      </c>
      <c r="C22" s="1191"/>
      <c r="D22" s="1191"/>
      <c r="E22" s="1191"/>
      <c r="F22" s="1191"/>
      <c r="G22" s="1191"/>
      <c r="H22" s="1191"/>
      <c r="I22" s="1191"/>
      <c r="K22" s="104" t="s">
        <v>74</v>
      </c>
    </row>
    <row r="23" spans="2:19" ht="15" customHeight="1">
      <c r="B23" s="1191" t="s">
        <v>202</v>
      </c>
      <c r="C23" s="1191"/>
      <c r="D23" s="1191"/>
      <c r="E23" s="1191"/>
      <c r="F23" s="1191"/>
      <c r="G23" s="1191"/>
      <c r="H23" s="1191"/>
      <c r="I23" s="1191"/>
      <c r="J23" s="32"/>
      <c r="K23" s="33"/>
    </row>
    <row r="24" spans="2:19" ht="14.25" customHeight="1">
      <c r="B24" s="1192"/>
      <c r="C24" s="1192"/>
      <c r="D24" s="1192"/>
      <c r="E24" s="1192"/>
      <c r="F24" s="1192"/>
      <c r="G24" s="1192"/>
      <c r="H24" s="1192"/>
      <c r="I24" s="1192"/>
      <c r="J24" s="1192"/>
      <c r="K24" s="1192"/>
    </row>
    <row r="25" spans="2:19" ht="3.75" hidden="1" customHeight="1">
      <c r="B25" s="494"/>
      <c r="C25" s="494"/>
      <c r="D25" s="494"/>
      <c r="E25" s="494"/>
      <c r="F25" s="494"/>
      <c r="G25" s="494"/>
      <c r="H25" s="494"/>
      <c r="I25" s="494"/>
      <c r="J25" s="494"/>
      <c r="K25" s="494"/>
    </row>
    <row r="26" spans="2:19" ht="5.25" hidden="1" customHeight="1">
      <c r="B26" s="494"/>
      <c r="C26" s="494"/>
      <c r="D26" s="494"/>
      <c r="E26" s="494"/>
      <c r="F26" s="494"/>
      <c r="G26" s="494"/>
      <c r="H26" s="494"/>
      <c r="I26" s="494"/>
      <c r="J26" s="494"/>
      <c r="K26" s="494"/>
    </row>
    <row r="27" spans="2:19" ht="9.75" customHeight="1">
      <c r="B27" s="34"/>
      <c r="C27" s="35"/>
      <c r="D27" s="35"/>
      <c r="E27" s="35"/>
      <c r="F27" s="35"/>
      <c r="G27" s="35"/>
      <c r="H27" s="35"/>
      <c r="I27" s="35"/>
      <c r="J27" s="31"/>
      <c r="K27" s="31"/>
    </row>
    <row r="28" spans="2:19" ht="24" customHeight="1">
      <c r="B28" s="491" t="s">
        <v>204</v>
      </c>
      <c r="C28" s="491"/>
      <c r="D28" s="1108"/>
      <c r="E28" s="1108"/>
      <c r="F28" s="1108"/>
      <c r="G28" s="1108"/>
      <c r="H28" s="139"/>
      <c r="I28" s="139"/>
      <c r="J28" s="139"/>
      <c r="K28" s="866">
        <v>46</v>
      </c>
      <c r="L28" s="5"/>
      <c r="M28" s="5"/>
      <c r="N28" s="5"/>
      <c r="O28" s="5"/>
      <c r="P28" s="5"/>
      <c r="Q28" s="5"/>
      <c r="S28" s="7"/>
    </row>
    <row r="29" spans="2:19" ht="30" customHeight="1">
      <c r="B29" s="1193" t="s">
        <v>529</v>
      </c>
      <c r="C29" s="1193"/>
      <c r="D29" s="1193"/>
      <c r="E29" s="1193"/>
      <c r="F29" s="1193"/>
      <c r="G29" s="1193"/>
      <c r="H29" s="1193"/>
      <c r="I29" s="1193"/>
      <c r="J29" s="1193"/>
      <c r="K29" s="1193"/>
    </row>
    <row r="30" spans="2:19" s="140" customFormat="1" ht="27" customHeight="1" thickBot="1">
      <c r="B30" s="1194" t="s">
        <v>381</v>
      </c>
      <c r="C30" s="1194"/>
      <c r="D30" s="1194"/>
      <c r="E30" s="1194"/>
      <c r="F30" s="1194"/>
      <c r="G30" s="1194"/>
      <c r="H30" s="1194"/>
      <c r="I30" s="1194"/>
      <c r="J30" s="1194"/>
      <c r="K30" s="1194"/>
    </row>
    <row r="31" spans="2:19" ht="27.75" customHeight="1" thickTop="1">
      <c r="B31" s="1068" t="s">
        <v>89</v>
      </c>
      <c r="C31" s="1068"/>
      <c r="D31" s="1116" t="s">
        <v>90</v>
      </c>
      <c r="E31" s="1111" t="s">
        <v>91</v>
      </c>
      <c r="F31" s="1111"/>
      <c r="G31" s="1111"/>
      <c r="H31" s="493"/>
      <c r="I31" s="1111" t="s">
        <v>92</v>
      </c>
      <c r="J31" s="1111"/>
      <c r="K31" s="1111"/>
    </row>
    <row r="32" spans="2:19" ht="27" customHeight="1">
      <c r="B32" s="1069"/>
      <c r="C32" s="1069"/>
      <c r="D32" s="1190"/>
      <c r="E32" s="161" t="s">
        <v>79</v>
      </c>
      <c r="F32" s="161" t="s">
        <v>80</v>
      </c>
      <c r="G32" s="161" t="s">
        <v>93</v>
      </c>
      <c r="H32" s="160"/>
      <c r="I32" s="161" t="s">
        <v>79</v>
      </c>
      <c r="J32" s="161" t="s">
        <v>80</v>
      </c>
      <c r="K32" s="161" t="s">
        <v>93</v>
      </c>
    </row>
    <row r="33" spans="2:11" ht="21" customHeight="1">
      <c r="B33" s="872" t="s">
        <v>125</v>
      </c>
      <c r="C33" s="873" t="s">
        <v>188</v>
      </c>
      <c r="D33" s="874" t="s">
        <v>116</v>
      </c>
      <c r="E33" s="875">
        <v>1E-3</v>
      </c>
      <c r="F33" s="875">
        <v>0.11600000000000001</v>
      </c>
      <c r="G33" s="875">
        <v>1.4E-2</v>
      </c>
      <c r="H33" s="876"/>
      <c r="I33" s="876" t="s">
        <v>220</v>
      </c>
      <c r="J33" s="875">
        <v>1.2E-2</v>
      </c>
      <c r="K33" s="875">
        <v>3.0000000000000001E-3</v>
      </c>
    </row>
    <row r="34" spans="2:11" ht="21" customHeight="1">
      <c r="B34" s="872" t="s">
        <v>126</v>
      </c>
      <c r="C34" s="873" t="s">
        <v>189</v>
      </c>
      <c r="D34" s="874" t="s">
        <v>116</v>
      </c>
      <c r="E34" s="876">
        <v>0.19</v>
      </c>
      <c r="F34" s="876">
        <v>4.54</v>
      </c>
      <c r="G34" s="876">
        <v>1</v>
      </c>
      <c r="H34" s="876"/>
      <c r="I34" s="876">
        <v>0.1</v>
      </c>
      <c r="J34" s="876">
        <v>5.55</v>
      </c>
      <c r="K34" s="876">
        <v>0.96</v>
      </c>
    </row>
    <row r="35" spans="2:11" ht="21" customHeight="1">
      <c r="B35" s="872" t="s">
        <v>127</v>
      </c>
      <c r="C35" s="873" t="s">
        <v>190</v>
      </c>
      <c r="D35" s="874" t="s">
        <v>116</v>
      </c>
      <c r="E35" s="877">
        <v>1.9</v>
      </c>
      <c r="F35" s="877">
        <v>12.8</v>
      </c>
      <c r="G35" s="877">
        <v>4.7</v>
      </c>
      <c r="H35" s="877"/>
      <c r="I35" s="877">
        <v>1.2</v>
      </c>
      <c r="J35" s="877">
        <v>13</v>
      </c>
      <c r="K35" s="877">
        <v>4.4000000000000004</v>
      </c>
    </row>
    <row r="36" spans="2:11" ht="21" customHeight="1">
      <c r="B36" s="870" t="s">
        <v>128</v>
      </c>
      <c r="C36" s="873" t="s">
        <v>191</v>
      </c>
      <c r="D36" s="874" t="s">
        <v>116</v>
      </c>
      <c r="E36" s="876" t="s">
        <v>219</v>
      </c>
      <c r="F36" s="876">
        <v>0.25</v>
      </c>
      <c r="G36" s="876">
        <v>0.06</v>
      </c>
      <c r="H36" s="876"/>
      <c r="I36" s="876" t="s">
        <v>219</v>
      </c>
      <c r="J36" s="876">
        <v>0.16</v>
      </c>
      <c r="K36" s="876">
        <v>0.03</v>
      </c>
    </row>
    <row r="37" spans="2:11" ht="21" customHeight="1">
      <c r="B37" s="484" t="s">
        <v>129</v>
      </c>
      <c r="C37" s="873" t="s">
        <v>130</v>
      </c>
      <c r="D37" s="874" t="s">
        <v>116</v>
      </c>
      <c r="E37" s="876" t="s">
        <v>221</v>
      </c>
      <c r="F37" s="876" t="s">
        <v>221</v>
      </c>
      <c r="G37" s="876" t="s">
        <v>221</v>
      </c>
      <c r="H37" s="876"/>
      <c r="I37" s="876" t="s">
        <v>221</v>
      </c>
      <c r="J37" s="876" t="s">
        <v>221</v>
      </c>
      <c r="K37" s="876" t="s">
        <v>221</v>
      </c>
    </row>
    <row r="38" spans="2:11" ht="21" customHeight="1">
      <c r="B38" s="870" t="s">
        <v>131</v>
      </c>
      <c r="C38" s="873" t="s">
        <v>132</v>
      </c>
      <c r="D38" s="874" t="s">
        <v>116</v>
      </c>
      <c r="E38" s="876" t="s">
        <v>219</v>
      </c>
      <c r="F38" s="876" t="s">
        <v>219</v>
      </c>
      <c r="G38" s="876" t="s">
        <v>219</v>
      </c>
      <c r="H38" s="876"/>
      <c r="I38" s="876" t="s">
        <v>219</v>
      </c>
      <c r="J38" s="876" t="s">
        <v>219</v>
      </c>
      <c r="K38" s="876" t="s">
        <v>219</v>
      </c>
    </row>
    <row r="39" spans="2:11" ht="21" customHeight="1">
      <c r="B39" s="870" t="s">
        <v>133</v>
      </c>
      <c r="C39" s="873" t="s">
        <v>134</v>
      </c>
      <c r="D39" s="874" t="s">
        <v>116</v>
      </c>
      <c r="E39" s="876" t="s">
        <v>222</v>
      </c>
      <c r="F39" s="876">
        <v>0.02</v>
      </c>
      <c r="G39" s="876">
        <v>0.01</v>
      </c>
      <c r="H39" s="878"/>
      <c r="I39" s="876" t="s">
        <v>222</v>
      </c>
      <c r="J39" s="876" t="s">
        <v>222</v>
      </c>
      <c r="K39" s="876" t="s">
        <v>219</v>
      </c>
    </row>
    <row r="40" spans="2:11" ht="21" customHeight="1">
      <c r="B40" s="879" t="s">
        <v>135</v>
      </c>
      <c r="C40" s="873" t="s">
        <v>136</v>
      </c>
      <c r="D40" s="874" t="s">
        <v>116</v>
      </c>
      <c r="E40" s="876" t="s">
        <v>222</v>
      </c>
      <c r="F40" s="876" t="s">
        <v>222</v>
      </c>
      <c r="G40" s="876">
        <v>0.02</v>
      </c>
      <c r="H40" s="876"/>
      <c r="I40" s="876" t="s">
        <v>222</v>
      </c>
      <c r="J40" s="876" t="s">
        <v>222</v>
      </c>
      <c r="K40" s="876" t="s">
        <v>222</v>
      </c>
    </row>
    <row r="41" spans="2:11" ht="21" customHeight="1">
      <c r="B41" s="871" t="s">
        <v>137</v>
      </c>
      <c r="C41" s="873" t="s">
        <v>138</v>
      </c>
      <c r="D41" s="874" t="s">
        <v>116</v>
      </c>
      <c r="E41" s="880" t="s">
        <v>388</v>
      </c>
      <c r="F41" s="880" t="s">
        <v>388</v>
      </c>
      <c r="G41" s="880" t="s">
        <v>388</v>
      </c>
      <c r="H41" s="880"/>
      <c r="I41" s="880" t="s">
        <v>388</v>
      </c>
      <c r="J41" s="880" t="s">
        <v>388</v>
      </c>
      <c r="K41" s="880" t="s">
        <v>388</v>
      </c>
    </row>
    <row r="42" spans="2:11" ht="21" customHeight="1">
      <c r="B42" s="871" t="s">
        <v>139</v>
      </c>
      <c r="C42" s="873" t="s">
        <v>140</v>
      </c>
      <c r="D42" s="874" t="s">
        <v>116</v>
      </c>
      <c r="E42" s="880" t="s">
        <v>388</v>
      </c>
      <c r="F42" s="880" t="s">
        <v>388</v>
      </c>
      <c r="G42" s="880" t="s">
        <v>388</v>
      </c>
      <c r="H42" s="880"/>
      <c r="I42" s="880" t="s">
        <v>388</v>
      </c>
      <c r="J42" s="880" t="s">
        <v>388</v>
      </c>
      <c r="K42" s="880" t="s">
        <v>388</v>
      </c>
    </row>
    <row r="43" spans="2:11" ht="21" customHeight="1">
      <c r="B43" s="871" t="s">
        <v>141</v>
      </c>
      <c r="C43" s="873" t="s">
        <v>142</v>
      </c>
      <c r="D43" s="874" t="s">
        <v>116</v>
      </c>
      <c r="E43" s="881">
        <v>19</v>
      </c>
      <c r="F43" s="881">
        <v>78</v>
      </c>
      <c r="G43" s="881">
        <v>43</v>
      </c>
      <c r="H43" s="881"/>
      <c r="I43" s="881">
        <v>16</v>
      </c>
      <c r="J43" s="881">
        <v>75</v>
      </c>
      <c r="K43" s="881">
        <v>40</v>
      </c>
    </row>
    <row r="44" spans="2:11" ht="21" customHeight="1">
      <c r="B44" s="871" t="s">
        <v>143</v>
      </c>
      <c r="C44" s="873" t="s">
        <v>144</v>
      </c>
      <c r="D44" s="874" t="s">
        <v>116</v>
      </c>
      <c r="E44" s="877">
        <v>1.5</v>
      </c>
      <c r="F44" s="877">
        <v>3.6</v>
      </c>
      <c r="G44" s="877">
        <v>2.2999999999999998</v>
      </c>
      <c r="H44" s="876"/>
      <c r="I44" s="877">
        <v>1.3</v>
      </c>
      <c r="J44" s="877">
        <v>3.4</v>
      </c>
      <c r="K44" s="877">
        <v>2.2999999999999998</v>
      </c>
    </row>
    <row r="45" spans="2:11" ht="21" customHeight="1" thickBot="1">
      <c r="B45" s="882" t="s">
        <v>145</v>
      </c>
      <c r="C45" s="873" t="s">
        <v>146</v>
      </c>
      <c r="D45" s="874" t="s">
        <v>116</v>
      </c>
      <c r="E45" s="876" t="s">
        <v>220</v>
      </c>
      <c r="F45" s="876" t="s">
        <v>220</v>
      </c>
      <c r="G45" s="876" t="s">
        <v>220</v>
      </c>
      <c r="H45" s="876"/>
      <c r="I45" s="876" t="s">
        <v>220</v>
      </c>
      <c r="J45" s="876" t="s">
        <v>220</v>
      </c>
      <c r="K45" s="876" t="s">
        <v>220</v>
      </c>
    </row>
    <row r="46" spans="2:11" ht="7.5" customHeight="1" thickTop="1">
      <c r="B46" s="195"/>
      <c r="C46" s="196"/>
      <c r="D46" s="197"/>
      <c r="E46" s="198"/>
      <c r="F46" s="198"/>
      <c r="G46" s="198"/>
      <c r="H46" s="198"/>
      <c r="I46" s="198"/>
      <c r="J46" s="198"/>
      <c r="K46" s="198"/>
    </row>
    <row r="47" spans="2:11" ht="19.5" customHeight="1">
      <c r="B47" s="1191" t="s">
        <v>202</v>
      </c>
      <c r="C47" s="1191"/>
      <c r="D47" s="1191"/>
      <c r="E47" s="1191"/>
      <c r="F47" s="1191"/>
      <c r="G47" s="1191"/>
      <c r="H47" s="1191"/>
      <c r="I47" s="1191"/>
      <c r="J47" s="32"/>
      <c r="K47" s="33"/>
    </row>
    <row r="48" spans="2:11" ht="23.25" customHeight="1">
      <c r="G48" s="12"/>
    </row>
    <row r="49" spans="2:19" ht="27.75" customHeight="1">
      <c r="B49" s="546"/>
      <c r="C49" s="546"/>
      <c r="D49" s="546"/>
      <c r="E49" s="546"/>
      <c r="F49" s="546"/>
      <c r="G49" s="546"/>
      <c r="H49" s="546"/>
      <c r="I49" s="546"/>
      <c r="J49" s="32"/>
      <c r="K49" s="33"/>
    </row>
    <row r="50" spans="2:19" ht="29.25" customHeight="1">
      <c r="B50" s="1192"/>
      <c r="C50" s="1192"/>
      <c r="D50" s="1192"/>
      <c r="E50" s="1192"/>
      <c r="F50" s="1192"/>
      <c r="G50" s="1192"/>
      <c r="H50" s="1192"/>
      <c r="I50" s="1192"/>
      <c r="J50" s="1192"/>
      <c r="K50" s="1192"/>
    </row>
    <row r="51" spans="2:19" ht="21.75" customHeight="1">
      <c r="B51" s="494"/>
      <c r="C51" s="494"/>
      <c r="D51" s="494"/>
      <c r="E51" s="494"/>
      <c r="F51" s="494"/>
      <c r="G51" s="494"/>
      <c r="H51" s="494"/>
      <c r="I51" s="494"/>
      <c r="J51" s="494"/>
      <c r="K51" s="494"/>
    </row>
    <row r="52" spans="2:19" ht="19.5" customHeight="1">
      <c r="B52" s="34"/>
      <c r="C52" s="35"/>
      <c r="D52" s="35"/>
      <c r="E52" s="35"/>
      <c r="F52" s="35"/>
      <c r="G52" s="35"/>
      <c r="H52" s="35"/>
      <c r="I52" s="35"/>
      <c r="J52" s="31"/>
      <c r="K52" s="31"/>
    </row>
    <row r="53" spans="2:19" s="12" customFormat="1" ht="22.5" customHeight="1">
      <c r="B53" s="598" t="s">
        <v>204</v>
      </c>
      <c r="C53" s="598"/>
      <c r="D53" s="1108"/>
      <c r="E53" s="1108"/>
      <c r="F53" s="1108"/>
      <c r="G53" s="1108"/>
      <c r="H53" s="139"/>
      <c r="I53" s="139"/>
      <c r="J53" s="139"/>
      <c r="K53" s="866">
        <v>47</v>
      </c>
      <c r="L53" s="376"/>
      <c r="M53" s="376"/>
      <c r="N53" s="376"/>
      <c r="O53" s="376"/>
      <c r="P53" s="376"/>
      <c r="Q53" s="376"/>
      <c r="S53" s="531"/>
    </row>
    <row r="54" spans="2:19" s="12" customFormat="1"/>
    <row r="55" spans="2:19" s="12" customFormat="1"/>
    <row r="56" spans="2:19" s="12" customFormat="1"/>
    <row r="57" spans="2:19" s="12" customFormat="1"/>
    <row r="58" spans="2:19" s="12" customFormat="1"/>
    <row r="59" spans="2:19" s="12" customFormat="1"/>
    <row r="60" spans="2:19" s="12" customFormat="1"/>
    <row r="61" spans="2:19" s="12" customFormat="1"/>
    <row r="62" spans="2:19" s="12" customFormat="1"/>
    <row r="63" spans="2:19" s="12" customFormat="1"/>
    <row r="64" spans="2:19" s="12" customFormat="1"/>
    <row r="65" s="12" customFormat="1"/>
    <row r="66" s="12" customFormat="1"/>
    <row r="67" s="12" customFormat="1"/>
    <row r="68" s="12" customFormat="1"/>
    <row r="69" s="12" customFormat="1"/>
    <row r="70" s="12" customFormat="1"/>
    <row r="71" s="12" customFormat="1"/>
    <row r="72" s="12" customFormat="1"/>
    <row r="73" s="12" customFormat="1"/>
    <row r="74" s="12" customFormat="1"/>
    <row r="75" s="12" customFormat="1"/>
    <row r="76" s="12" customFormat="1"/>
    <row r="77" s="12" customFormat="1"/>
    <row r="78" s="12" customFormat="1"/>
    <row r="79" s="12" customFormat="1"/>
    <row r="80" s="12" customFormat="1"/>
    <row r="81" s="12" customFormat="1"/>
    <row r="82" s="12" customFormat="1"/>
    <row r="83" s="12" customFormat="1"/>
    <row r="84" s="12" customFormat="1"/>
    <row r="85" s="12" customFormat="1"/>
    <row r="86" s="12" customFormat="1"/>
    <row r="87" s="12" customFormat="1"/>
    <row r="88" s="12" customFormat="1"/>
    <row r="89" s="12" customFormat="1"/>
    <row r="90" s="12" customFormat="1"/>
    <row r="91" s="12" customFormat="1"/>
    <row r="92" s="12" customFormat="1"/>
    <row r="93" s="12" customFormat="1"/>
    <row r="94" s="12" customFormat="1"/>
    <row r="95" s="12" customFormat="1"/>
    <row r="96" s="12" customFormat="1"/>
    <row r="97" s="12" customFormat="1"/>
    <row r="98" s="12" customFormat="1"/>
    <row r="99" s="12" customFormat="1"/>
    <row r="100" s="12" customFormat="1"/>
    <row r="101" s="12" customFormat="1"/>
    <row r="102" s="12" customFormat="1"/>
    <row r="103" s="12" customFormat="1"/>
    <row r="104" s="12" customFormat="1"/>
    <row r="105" s="12" customFormat="1"/>
    <row r="106" s="12" customFormat="1"/>
    <row r="107" s="12" customFormat="1"/>
    <row r="108" s="12" customFormat="1"/>
    <row r="109" s="12" customFormat="1"/>
    <row r="110" s="12" customFormat="1"/>
    <row r="111" s="12" customFormat="1"/>
    <row r="112" s="12" customFormat="1"/>
    <row r="113" s="12" customFormat="1"/>
    <row r="114" s="12" customFormat="1"/>
    <row r="115" s="12" customFormat="1"/>
    <row r="116" s="12" customFormat="1"/>
    <row r="117" s="12" customFormat="1"/>
    <row r="118" s="12" customFormat="1"/>
    <row r="119" s="12" customFormat="1"/>
    <row r="120" s="12" customFormat="1"/>
    <row r="121" s="12" customFormat="1"/>
    <row r="122" s="12" customFormat="1"/>
    <row r="123" s="12" customFormat="1"/>
    <row r="124" s="12" customFormat="1"/>
    <row r="125" s="12" customFormat="1"/>
    <row r="126" s="12" customFormat="1"/>
    <row r="127" s="12" customFormat="1"/>
    <row r="128" s="12" customFormat="1"/>
    <row r="129" s="12" customFormat="1"/>
    <row r="130" s="12" customFormat="1"/>
    <row r="131" s="12" customFormat="1"/>
    <row r="132" s="12" customFormat="1"/>
    <row r="133" s="12" customFormat="1"/>
    <row r="134" s="12" customFormat="1"/>
    <row r="135" s="12" customFormat="1"/>
    <row r="136" s="12" customFormat="1"/>
    <row r="137" s="12" customFormat="1"/>
    <row r="138" s="12" customFormat="1"/>
    <row r="139" s="12" customFormat="1"/>
    <row r="140" s="12" customFormat="1"/>
    <row r="141" s="12" customFormat="1"/>
    <row r="142" s="12" customFormat="1"/>
    <row r="143" s="12" customFormat="1"/>
    <row r="144" s="12" customFormat="1"/>
    <row r="145" s="12" customFormat="1"/>
    <row r="146" s="12" customFormat="1"/>
    <row r="147" s="12" customFormat="1"/>
    <row r="148" s="12" customFormat="1"/>
    <row r="149" s="12" customFormat="1"/>
    <row r="150" s="12" customFormat="1"/>
    <row r="151" s="12" customFormat="1"/>
    <row r="152" s="12" customFormat="1"/>
    <row r="153" s="12" customFormat="1"/>
    <row r="154" s="12" customFormat="1"/>
    <row r="155" s="12" customFormat="1"/>
    <row r="156" s="12" customFormat="1"/>
    <row r="157" s="12" customFormat="1"/>
    <row r="158" s="12" customFormat="1"/>
    <row r="159" s="12" customFormat="1"/>
    <row r="160" s="12" customFormat="1"/>
    <row r="161" s="12" customFormat="1"/>
    <row r="162" s="12" customFormat="1"/>
    <row r="163" s="12" customFormat="1"/>
    <row r="164" s="12" customFormat="1"/>
    <row r="165" s="12" customFormat="1"/>
    <row r="166" s="12" customFormat="1"/>
    <row r="167" s="12" customFormat="1"/>
    <row r="168" s="12" customFormat="1"/>
    <row r="169" s="12" customFormat="1"/>
    <row r="170" s="12" customFormat="1"/>
    <row r="171" s="12" customFormat="1"/>
    <row r="172" s="12" customFormat="1"/>
    <row r="173" s="12" customFormat="1"/>
    <row r="174" s="12" customFormat="1"/>
    <row r="175" s="12" customFormat="1"/>
    <row r="176" s="12" customFormat="1"/>
    <row r="177" s="12" customFormat="1"/>
    <row r="178" s="12" customFormat="1"/>
    <row r="179" s="12" customFormat="1"/>
    <row r="180" s="12" customFormat="1"/>
    <row r="181" s="12" customFormat="1"/>
    <row r="182" s="12" customFormat="1"/>
    <row r="183" s="12" customFormat="1"/>
    <row r="184" s="12" customFormat="1"/>
    <row r="185" s="12" customFormat="1"/>
    <row r="186" s="12" customFormat="1"/>
    <row r="187" s="12" customFormat="1"/>
    <row r="188" s="12" customFormat="1"/>
    <row r="189" s="12" customFormat="1"/>
    <row r="190" s="12" customFormat="1"/>
    <row r="191" s="12" customFormat="1"/>
    <row r="192" s="12" customFormat="1"/>
    <row r="193" s="12" customFormat="1"/>
    <row r="194" s="12" customFormat="1"/>
    <row r="195" s="12" customFormat="1"/>
    <row r="196" s="12" customFormat="1"/>
    <row r="197" s="12" customFormat="1"/>
    <row r="198" s="12" customFormat="1"/>
    <row r="199" s="12" customFormat="1"/>
    <row r="200" s="12" customFormat="1"/>
    <row r="201" s="12" customFormat="1"/>
    <row r="202" s="12" customFormat="1"/>
    <row r="203" s="12" customFormat="1"/>
    <row r="204" s="12" customFormat="1"/>
    <row r="205" s="12" customFormat="1"/>
    <row r="206" s="12" customFormat="1"/>
    <row r="207" s="12" customFormat="1"/>
    <row r="208" s="12" customFormat="1"/>
    <row r="209" s="12" customFormat="1"/>
    <row r="210" s="12" customFormat="1"/>
    <row r="211" s="12" customFormat="1"/>
    <row r="212" s="12" customFormat="1"/>
    <row r="213" s="12" customFormat="1"/>
    <row r="214" s="12" customFormat="1"/>
    <row r="215" s="12" customFormat="1"/>
    <row r="216" s="12" customFormat="1"/>
    <row r="217" s="12" customFormat="1"/>
    <row r="218" s="12" customFormat="1"/>
    <row r="219" s="12" customFormat="1"/>
    <row r="220" s="12" customFormat="1"/>
    <row r="221" s="12" customFormat="1"/>
    <row r="222" s="12" customFormat="1"/>
    <row r="223" s="12" customFormat="1"/>
    <row r="224" s="12" customFormat="1"/>
    <row r="225" s="12" customFormat="1"/>
    <row r="226" s="12" customFormat="1"/>
    <row r="227" s="12" customFormat="1"/>
    <row r="228" s="12" customFormat="1"/>
    <row r="229" s="12" customFormat="1"/>
    <row r="230" s="12" customFormat="1"/>
    <row r="231" s="12" customFormat="1"/>
    <row r="232" s="12" customFormat="1"/>
    <row r="233" s="12" customFormat="1"/>
    <row r="234" s="12" customFormat="1"/>
    <row r="235" s="12" customFormat="1"/>
    <row r="236" s="12" customFormat="1"/>
    <row r="237" s="12" customFormat="1"/>
    <row r="238" s="12" customFormat="1"/>
    <row r="239" s="12" customFormat="1"/>
    <row r="240" s="12" customFormat="1"/>
    <row r="241" s="12" customFormat="1"/>
    <row r="242" s="12" customFormat="1"/>
    <row r="243" s="12" customFormat="1"/>
    <row r="244" s="12" customFormat="1"/>
    <row r="245" s="12" customFormat="1"/>
    <row r="246" s="12" customFormat="1"/>
    <row r="247" s="12" customFormat="1"/>
    <row r="248" s="12" customFormat="1"/>
    <row r="249" s="12" customFormat="1"/>
    <row r="250" s="12" customFormat="1"/>
    <row r="251" s="12" customFormat="1"/>
    <row r="252" s="12" customFormat="1"/>
    <row r="253" s="12" customFormat="1"/>
    <row r="254" s="12" customFormat="1"/>
    <row r="255" s="12" customFormat="1"/>
    <row r="256" s="12" customFormat="1"/>
    <row r="257" s="12" customFormat="1"/>
    <row r="258" s="12" customFormat="1"/>
    <row r="259" s="12" customFormat="1"/>
    <row r="260" s="12" customFormat="1"/>
    <row r="261" s="12" customFormat="1"/>
    <row r="262" s="12" customFormat="1"/>
    <row r="263" s="12" customFormat="1"/>
    <row r="264" s="12" customFormat="1"/>
    <row r="265" s="12" customFormat="1"/>
    <row r="266" s="12" customFormat="1"/>
    <row r="267" s="12" customFormat="1"/>
    <row r="268" s="12" customFormat="1"/>
    <row r="269" s="12" customFormat="1"/>
    <row r="270" s="12" customFormat="1"/>
    <row r="271" s="12" customFormat="1"/>
    <row r="272" s="12" customFormat="1"/>
    <row r="273" s="12" customFormat="1"/>
    <row r="274" s="12" customFormat="1"/>
    <row r="275" s="12" customFormat="1"/>
    <row r="276" s="12" customFormat="1"/>
    <row r="277" s="12" customFormat="1"/>
    <row r="278" s="12" customFormat="1"/>
    <row r="279" s="12" customFormat="1"/>
    <row r="280" s="12" customFormat="1"/>
    <row r="281" s="12" customFormat="1"/>
    <row r="282" s="12" customFormat="1"/>
    <row r="283" s="12" customFormat="1"/>
    <row r="284" s="12" customFormat="1"/>
    <row r="285" s="12" customFormat="1"/>
    <row r="286" s="12" customFormat="1"/>
    <row r="287" s="12" customFormat="1"/>
    <row r="288" s="12" customFormat="1"/>
    <row r="289" s="12" customFormat="1"/>
    <row r="290" s="12" customFormat="1"/>
    <row r="291" s="12" customFormat="1"/>
    <row r="292" s="12" customFormat="1"/>
    <row r="293" s="12" customFormat="1"/>
    <row r="294" s="12" customFormat="1"/>
    <row r="295" s="12" customFormat="1"/>
    <row r="296" s="12" customFormat="1"/>
    <row r="297" s="12" customFormat="1"/>
    <row r="298" s="12" customFormat="1"/>
    <row r="299" s="12" customFormat="1"/>
    <row r="300" s="12" customFormat="1"/>
    <row r="301" s="12" customFormat="1"/>
    <row r="302" s="12" customFormat="1"/>
    <row r="303" s="12" customFormat="1"/>
    <row r="304" s="12" customFormat="1"/>
    <row r="305" s="12" customFormat="1"/>
    <row r="306" s="12" customFormat="1"/>
    <row r="307" s="12" customFormat="1"/>
    <row r="308" s="12" customFormat="1"/>
    <row r="309" s="12" customFormat="1"/>
    <row r="310" s="12" customFormat="1"/>
    <row r="311" s="12" customFormat="1"/>
    <row r="312" s="12" customFormat="1"/>
    <row r="313" s="12" customFormat="1"/>
    <row r="314" s="12" customFormat="1"/>
    <row r="315" s="12" customFormat="1"/>
    <row r="316" s="12" customFormat="1"/>
    <row r="317" s="12" customFormat="1"/>
    <row r="318" s="12" customFormat="1"/>
    <row r="319" s="12" customFormat="1"/>
    <row r="320" s="12" customFormat="1"/>
    <row r="321" s="12" customFormat="1"/>
    <row r="322" s="12" customFormat="1"/>
    <row r="323" s="12" customFormat="1"/>
    <row r="324" s="12" customFormat="1"/>
    <row r="325" s="12" customFormat="1"/>
    <row r="326" s="12" customFormat="1"/>
    <row r="327" s="12" customFormat="1"/>
    <row r="328" s="12" customFormat="1"/>
    <row r="329" s="12" customFormat="1"/>
    <row r="330" s="12" customFormat="1"/>
    <row r="331" s="12" customFormat="1"/>
    <row r="332" s="12" customFormat="1"/>
    <row r="333" s="12" customFormat="1"/>
    <row r="334" s="12" customFormat="1"/>
    <row r="335" s="12" customFormat="1"/>
    <row r="336" s="12" customFormat="1"/>
    <row r="337" s="12" customFormat="1"/>
    <row r="338" s="12" customFormat="1"/>
    <row r="339" s="12" customFormat="1"/>
    <row r="340" s="12" customFormat="1"/>
    <row r="341" s="12" customFormat="1"/>
    <row r="342" s="12" customFormat="1"/>
    <row r="343" s="12" customFormat="1"/>
    <row r="344" s="12" customFormat="1"/>
    <row r="345" s="12" customFormat="1"/>
    <row r="346" s="12" customFormat="1"/>
    <row r="347" s="12" customFormat="1"/>
    <row r="348" s="12" customFormat="1"/>
    <row r="349" s="12" customFormat="1"/>
    <row r="350" s="12" customFormat="1"/>
    <row r="351" s="12" customFormat="1"/>
    <row r="352" s="12" customFormat="1"/>
    <row r="353" s="12" customFormat="1"/>
    <row r="354" s="12" customFormat="1"/>
    <row r="355" s="12" customFormat="1"/>
    <row r="356" s="12" customFormat="1"/>
    <row r="357" s="12" customFormat="1"/>
    <row r="358" s="12" customFormat="1"/>
    <row r="359" s="12" customFormat="1"/>
    <row r="360" s="12" customFormat="1"/>
  </sheetData>
  <mergeCells count="19">
    <mergeCell ref="B22:I22"/>
    <mergeCell ref="B1:K1"/>
    <mergeCell ref="B2:K2"/>
    <mergeCell ref="B3:C4"/>
    <mergeCell ref="D3:D4"/>
    <mergeCell ref="E3:G3"/>
    <mergeCell ref="I3:K3"/>
    <mergeCell ref="B31:C32"/>
    <mergeCell ref="D31:D32"/>
    <mergeCell ref="D28:G28"/>
    <mergeCell ref="D53:G53"/>
    <mergeCell ref="B23:I23"/>
    <mergeCell ref="B24:K24"/>
    <mergeCell ref="E31:G31"/>
    <mergeCell ref="I31:K31"/>
    <mergeCell ref="B50:K50"/>
    <mergeCell ref="B29:K29"/>
    <mergeCell ref="B30:K30"/>
    <mergeCell ref="B47:I47"/>
  </mergeCells>
  <printOptions horizontalCentered="1"/>
  <pageMargins left="0.43307086614173229" right="0.43307086614173229" top="0.59055118110236227" bottom="0.19685039370078741" header="0.31496062992125984" footer="0.31496062992125984"/>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K317"/>
  <sheetViews>
    <sheetView rightToLeft="1" tabSelected="1" view="pageBreakPreview" topLeftCell="A250" zoomScaleNormal="90" zoomScaleSheetLayoutView="100" workbookViewId="0">
      <selection activeCell="D288" sqref="D288"/>
    </sheetView>
  </sheetViews>
  <sheetFormatPr defaultRowHeight="23.25" customHeight="1"/>
  <cols>
    <col min="2" max="2" width="9.7109375" customWidth="1"/>
    <col min="3" max="3" width="11" customWidth="1"/>
    <col min="4" max="4" width="10.28515625" customWidth="1"/>
    <col min="5" max="7" width="8.5703125" customWidth="1"/>
    <col min="8" max="8" width="1.140625" customWidth="1"/>
    <col min="9" max="9" width="8.5703125" customWidth="1"/>
    <col min="10" max="10" width="8.140625" customWidth="1"/>
    <col min="11" max="11" width="8.5703125" customWidth="1"/>
    <col min="14" max="14" width="8.7109375" customWidth="1"/>
    <col min="15" max="15" width="10.42578125" customWidth="1"/>
    <col min="16" max="16" width="7.5703125" customWidth="1"/>
    <col min="17" max="19" width="8.5703125" customWidth="1"/>
    <col min="20" max="20" width="2.140625" customWidth="1"/>
    <col min="21" max="23" width="8.5703125" customWidth="1"/>
  </cols>
  <sheetData>
    <row r="1" spans="1:11" ht="32.25" customHeight="1">
      <c r="A1" s="1118" t="s">
        <v>530</v>
      </c>
      <c r="B1" s="1118"/>
      <c r="C1" s="1118"/>
      <c r="D1" s="1118"/>
      <c r="E1" s="1118"/>
      <c r="F1" s="1118"/>
      <c r="G1" s="1118"/>
      <c r="H1" s="1118"/>
      <c r="I1" s="1118"/>
      <c r="J1" s="1118"/>
      <c r="K1" s="1118"/>
    </row>
    <row r="2" spans="1:11" ht="14.25" customHeight="1">
      <c r="A2" s="1118" t="s">
        <v>58</v>
      </c>
      <c r="B2" s="1118"/>
      <c r="C2" s="1118"/>
      <c r="D2" s="1118"/>
      <c r="E2" s="1118"/>
      <c r="F2" s="1118"/>
      <c r="G2" s="1118"/>
      <c r="H2" s="1118"/>
      <c r="I2" s="1118"/>
      <c r="J2" s="1118"/>
      <c r="K2" s="1118"/>
    </row>
    <row r="3" spans="1:11" s="141" customFormat="1" ht="14.25" customHeight="1" thickBot="1">
      <c r="A3" s="1110" t="s">
        <v>382</v>
      </c>
      <c r="B3" s="1110"/>
      <c r="C3" s="1110"/>
      <c r="D3" s="1110"/>
      <c r="E3" s="1110"/>
      <c r="F3" s="1110"/>
      <c r="G3" s="1110"/>
      <c r="H3" s="1110"/>
      <c r="I3" s="1110"/>
      <c r="J3" s="1110"/>
      <c r="K3" s="1110"/>
    </row>
    <row r="4" spans="1:11" ht="23.25" customHeight="1" thickTop="1">
      <c r="A4" s="1116" t="s">
        <v>178</v>
      </c>
      <c r="B4" s="1116"/>
      <c r="C4" s="515"/>
      <c r="D4" s="1116" t="s">
        <v>147</v>
      </c>
      <c r="E4" s="1111" t="s">
        <v>244</v>
      </c>
      <c r="F4" s="1111"/>
      <c r="G4" s="1111"/>
      <c r="H4" s="517"/>
      <c r="I4" s="1111" t="s">
        <v>92</v>
      </c>
      <c r="J4" s="1111"/>
      <c r="K4" s="1111"/>
    </row>
    <row r="5" spans="1:11" s="121" customFormat="1" ht="23.25" customHeight="1">
      <c r="A5" s="1190"/>
      <c r="B5" s="1190"/>
      <c r="C5" s="518"/>
      <c r="D5" s="1190"/>
      <c r="E5" s="162" t="s">
        <v>79</v>
      </c>
      <c r="F5" s="162" t="s">
        <v>80</v>
      </c>
      <c r="G5" s="162" t="s">
        <v>93</v>
      </c>
      <c r="H5" s="159"/>
      <c r="I5" s="162" t="s">
        <v>79</v>
      </c>
      <c r="J5" s="162" t="s">
        <v>80</v>
      </c>
      <c r="K5" s="162" t="s">
        <v>93</v>
      </c>
    </row>
    <row r="6" spans="1:11" ht="23.25" customHeight="1">
      <c r="A6" s="1199" t="s">
        <v>99</v>
      </c>
      <c r="B6" s="1199"/>
      <c r="C6" s="115" t="s">
        <v>148</v>
      </c>
      <c r="D6" s="15" t="s">
        <v>100</v>
      </c>
      <c r="E6" s="335">
        <v>0.8</v>
      </c>
      <c r="F6" s="335">
        <v>77.5</v>
      </c>
      <c r="G6" s="335">
        <v>7.24</v>
      </c>
      <c r="H6" s="186"/>
      <c r="I6" s="54">
        <v>0.3</v>
      </c>
      <c r="J6" s="54">
        <v>5</v>
      </c>
      <c r="K6" s="335">
        <v>3.37</v>
      </c>
    </row>
    <row r="7" spans="1:11" ht="23.25" customHeight="1">
      <c r="A7" s="1196" t="s">
        <v>149</v>
      </c>
      <c r="B7" s="1196"/>
      <c r="C7" s="116" t="s">
        <v>150</v>
      </c>
      <c r="D7" s="15" t="s">
        <v>100</v>
      </c>
      <c r="E7" s="335">
        <v>190</v>
      </c>
      <c r="F7" s="335">
        <v>242</v>
      </c>
      <c r="G7" s="335">
        <v>217</v>
      </c>
      <c r="H7" s="186"/>
      <c r="I7" s="54">
        <v>145</v>
      </c>
      <c r="J7" s="54">
        <v>430</v>
      </c>
      <c r="K7" s="335">
        <v>217</v>
      </c>
    </row>
    <row r="8" spans="1:11" ht="23.25" customHeight="1">
      <c r="A8" s="1196" t="s">
        <v>102</v>
      </c>
      <c r="B8" s="1196"/>
      <c r="C8" s="116" t="s">
        <v>151</v>
      </c>
      <c r="D8" s="15" t="s">
        <v>100</v>
      </c>
      <c r="E8" s="335">
        <v>138</v>
      </c>
      <c r="F8" s="335">
        <v>187</v>
      </c>
      <c r="G8" s="335">
        <v>145</v>
      </c>
      <c r="H8" s="186"/>
      <c r="I8" s="54">
        <v>136</v>
      </c>
      <c r="J8" s="54">
        <v>268</v>
      </c>
      <c r="K8" s="335">
        <v>144</v>
      </c>
    </row>
    <row r="9" spans="1:11" ht="23.25" customHeight="1">
      <c r="A9" s="1195" t="s">
        <v>152</v>
      </c>
      <c r="B9" s="1195"/>
      <c r="C9" s="116" t="s">
        <v>153</v>
      </c>
      <c r="D9" s="15" t="s">
        <v>100</v>
      </c>
      <c r="E9" s="335">
        <v>228</v>
      </c>
      <c r="F9" s="335">
        <v>330</v>
      </c>
      <c r="G9" s="335">
        <v>264</v>
      </c>
      <c r="H9" s="186"/>
      <c r="I9" s="54">
        <v>226</v>
      </c>
      <c r="J9" s="54">
        <v>752</v>
      </c>
      <c r="K9" s="335">
        <v>263</v>
      </c>
    </row>
    <row r="10" spans="1:11" ht="23.25" customHeight="1">
      <c r="A10" s="1196" t="s">
        <v>154</v>
      </c>
      <c r="B10" s="1196"/>
      <c r="C10" s="116" t="s">
        <v>101</v>
      </c>
      <c r="D10" s="163"/>
      <c r="E10" s="335">
        <v>7.04</v>
      </c>
      <c r="F10" s="335">
        <v>8.5</v>
      </c>
      <c r="G10" s="335">
        <v>7.56</v>
      </c>
      <c r="H10" s="186"/>
      <c r="I10" s="54">
        <v>6.7</v>
      </c>
      <c r="J10" s="54">
        <v>8.3800000000000008</v>
      </c>
      <c r="K10" s="335">
        <v>7.4</v>
      </c>
    </row>
    <row r="11" spans="1:11" ht="23.25" customHeight="1">
      <c r="A11" s="1196" t="s">
        <v>155</v>
      </c>
      <c r="B11" s="1196"/>
      <c r="C11" s="116" t="s">
        <v>156</v>
      </c>
      <c r="D11" s="15" t="s">
        <v>100</v>
      </c>
      <c r="E11" s="335">
        <v>15</v>
      </c>
      <c r="F11" s="335">
        <v>21</v>
      </c>
      <c r="G11" s="335">
        <v>17</v>
      </c>
      <c r="H11" s="186"/>
      <c r="I11" s="54">
        <v>17</v>
      </c>
      <c r="J11" s="54">
        <v>82</v>
      </c>
      <c r="K11" s="335">
        <v>20</v>
      </c>
    </row>
    <row r="12" spans="1:11" ht="23.25" customHeight="1">
      <c r="A12" s="1196" t="s">
        <v>157</v>
      </c>
      <c r="B12" s="1196"/>
      <c r="C12" s="116" t="s">
        <v>158</v>
      </c>
      <c r="D12" s="15" t="s">
        <v>100</v>
      </c>
      <c r="E12" s="335">
        <v>48</v>
      </c>
      <c r="F12" s="335">
        <v>64</v>
      </c>
      <c r="G12" s="335">
        <v>56</v>
      </c>
      <c r="H12" s="186"/>
      <c r="I12" s="54">
        <v>47</v>
      </c>
      <c r="J12" s="54">
        <v>62.5</v>
      </c>
      <c r="K12" s="54">
        <v>55</v>
      </c>
    </row>
    <row r="13" spans="1:11" ht="23.25" customHeight="1">
      <c r="A13" s="1196" t="s">
        <v>159</v>
      </c>
      <c r="B13" s="1196"/>
      <c r="C13" s="116" t="s">
        <v>160</v>
      </c>
      <c r="D13" s="15" t="s">
        <v>100</v>
      </c>
      <c r="E13" s="335">
        <v>15</v>
      </c>
      <c r="F13" s="335">
        <v>26</v>
      </c>
      <c r="G13" s="335">
        <v>19</v>
      </c>
      <c r="H13" s="186"/>
      <c r="I13" s="54">
        <v>15</v>
      </c>
      <c r="J13" s="54">
        <v>26</v>
      </c>
      <c r="K13" s="335">
        <v>19</v>
      </c>
    </row>
    <row r="14" spans="1:11" ht="23.25" customHeight="1">
      <c r="A14" s="1196" t="s">
        <v>161</v>
      </c>
      <c r="B14" s="1196"/>
      <c r="C14" s="117" t="s">
        <v>162</v>
      </c>
      <c r="D14" s="118" t="s">
        <v>113</v>
      </c>
      <c r="E14" s="335">
        <v>388</v>
      </c>
      <c r="F14" s="335">
        <v>580</v>
      </c>
      <c r="G14" s="335">
        <v>455</v>
      </c>
      <c r="H14" s="186"/>
      <c r="I14" s="54">
        <v>385</v>
      </c>
      <c r="J14" s="54">
        <v>572</v>
      </c>
      <c r="K14" s="335">
        <v>454</v>
      </c>
    </row>
    <row r="15" spans="1:11" ht="23.25" customHeight="1">
      <c r="A15" s="1197" t="s">
        <v>163</v>
      </c>
      <c r="B15" s="1197"/>
      <c r="C15" s="116" t="s">
        <v>164</v>
      </c>
      <c r="D15" s="15" t="s">
        <v>100</v>
      </c>
      <c r="E15" s="335">
        <v>8</v>
      </c>
      <c r="F15" s="335">
        <v>11</v>
      </c>
      <c r="G15" s="335">
        <v>9</v>
      </c>
      <c r="H15" s="186"/>
      <c r="I15" s="54">
        <v>8</v>
      </c>
      <c r="J15" s="54">
        <v>12</v>
      </c>
      <c r="K15" s="335">
        <v>10</v>
      </c>
    </row>
    <row r="16" spans="1:11" ht="23.25" customHeight="1">
      <c r="A16" s="1197" t="s">
        <v>165</v>
      </c>
      <c r="B16" s="1197"/>
      <c r="C16" s="116" t="s">
        <v>166</v>
      </c>
      <c r="D16" s="15" t="s">
        <v>100</v>
      </c>
      <c r="E16" s="335">
        <v>1.25</v>
      </c>
      <c r="F16" s="335">
        <v>2.4</v>
      </c>
      <c r="G16" s="335">
        <v>2.1</v>
      </c>
      <c r="H16" s="186"/>
      <c r="I16" s="54">
        <v>1.86</v>
      </c>
      <c r="J16" s="54">
        <v>2.88</v>
      </c>
      <c r="K16" s="335">
        <v>2</v>
      </c>
    </row>
    <row r="17" spans="1:11" ht="23.25" customHeight="1" thickBot="1">
      <c r="A17" s="1198" t="s">
        <v>167</v>
      </c>
      <c r="B17" s="1198"/>
      <c r="C17" s="119" t="s">
        <v>168</v>
      </c>
      <c r="D17" s="120" t="s">
        <v>100</v>
      </c>
      <c r="E17" s="336">
        <v>30</v>
      </c>
      <c r="F17" s="336">
        <v>93</v>
      </c>
      <c r="G17" s="336">
        <v>73</v>
      </c>
      <c r="H17" s="187"/>
      <c r="I17" s="55">
        <v>40</v>
      </c>
      <c r="J17" s="55">
        <v>195</v>
      </c>
      <c r="K17" s="336">
        <v>71</v>
      </c>
    </row>
    <row r="18" spans="1:11" s="25" customFormat="1" ht="23.25" customHeight="1" thickTop="1">
      <c r="A18" s="481"/>
      <c r="B18" s="479"/>
      <c r="C18" s="479"/>
      <c r="D18" s="479"/>
      <c r="E18" s="480"/>
      <c r="F18" s="480"/>
      <c r="G18" s="102"/>
      <c r="H18" s="102"/>
      <c r="I18" s="102"/>
      <c r="J18" s="102"/>
      <c r="K18" s="104"/>
    </row>
    <row r="19" spans="1:11" ht="38.25" customHeight="1">
      <c r="A19" s="1118" t="s">
        <v>530</v>
      </c>
      <c r="B19" s="1118"/>
      <c r="C19" s="1118"/>
      <c r="D19" s="1118"/>
      <c r="E19" s="1118"/>
      <c r="F19" s="1118"/>
      <c r="G19" s="1118"/>
      <c r="H19" s="1118"/>
      <c r="I19" s="1118"/>
      <c r="J19" s="1118"/>
      <c r="K19" s="1118"/>
    </row>
    <row r="20" spans="1:11" ht="15.75" customHeight="1">
      <c r="A20" s="1118" t="s">
        <v>59</v>
      </c>
      <c r="B20" s="1118"/>
      <c r="C20" s="1118"/>
      <c r="D20" s="1118"/>
      <c r="E20" s="1118"/>
      <c r="F20" s="1118"/>
      <c r="G20" s="1118"/>
      <c r="H20" s="1118"/>
      <c r="I20" s="1118"/>
      <c r="J20" s="1118"/>
      <c r="K20" s="1118"/>
    </row>
    <row r="21" spans="1:11" ht="23.25" customHeight="1" thickBot="1">
      <c r="A21" s="1110" t="s">
        <v>383</v>
      </c>
      <c r="B21" s="1110"/>
      <c r="C21" s="1110"/>
      <c r="D21" s="1110"/>
      <c r="E21" s="1110"/>
      <c r="F21" s="1110"/>
      <c r="G21" s="1110"/>
      <c r="H21" s="1110"/>
      <c r="I21" s="1110"/>
      <c r="J21" s="1110"/>
      <c r="K21" s="1110"/>
    </row>
    <row r="22" spans="1:11" s="108" customFormat="1" ht="23.25" customHeight="1" thickTop="1">
      <c r="A22" s="1116" t="s">
        <v>178</v>
      </c>
      <c r="B22" s="1116"/>
      <c r="C22" s="515"/>
      <c r="D22" s="1116" t="s">
        <v>147</v>
      </c>
      <c r="E22" s="1111" t="s">
        <v>244</v>
      </c>
      <c r="F22" s="1111"/>
      <c r="G22" s="1111"/>
      <c r="H22" s="517"/>
      <c r="I22" s="1111" t="s">
        <v>92</v>
      </c>
      <c r="J22" s="1111"/>
      <c r="K22" s="1111"/>
    </row>
    <row r="23" spans="1:11" s="107" customFormat="1" ht="23.25" customHeight="1">
      <c r="A23" s="1190"/>
      <c r="B23" s="1190"/>
      <c r="C23" s="518"/>
      <c r="D23" s="1190"/>
      <c r="E23" s="162" t="s">
        <v>79</v>
      </c>
      <c r="F23" s="162" t="s">
        <v>80</v>
      </c>
      <c r="G23" s="162" t="s">
        <v>93</v>
      </c>
      <c r="H23" s="159"/>
      <c r="I23" s="162" t="s">
        <v>79</v>
      </c>
      <c r="J23" s="162" t="s">
        <v>80</v>
      </c>
      <c r="K23" s="162" t="s">
        <v>93</v>
      </c>
    </row>
    <row r="24" spans="1:11" ht="23.25" customHeight="1">
      <c r="A24" s="1199" t="s">
        <v>99</v>
      </c>
      <c r="B24" s="1199"/>
      <c r="C24" s="115" t="s">
        <v>148</v>
      </c>
      <c r="D24" s="15" t="s">
        <v>100</v>
      </c>
      <c r="E24" s="176">
        <v>1.3</v>
      </c>
      <c r="F24" s="174">
        <v>108</v>
      </c>
      <c r="G24" s="175">
        <v>38.74</v>
      </c>
      <c r="H24" s="176"/>
      <c r="I24" s="176">
        <v>0.1</v>
      </c>
      <c r="J24" s="174">
        <v>5</v>
      </c>
      <c r="K24" s="175">
        <v>1.99</v>
      </c>
    </row>
    <row r="25" spans="1:11" ht="23.25" customHeight="1">
      <c r="A25" s="1196" t="s">
        <v>149</v>
      </c>
      <c r="B25" s="1196"/>
      <c r="C25" s="116" t="s">
        <v>150</v>
      </c>
      <c r="D25" s="15" t="s">
        <v>100</v>
      </c>
      <c r="E25" s="177">
        <v>158</v>
      </c>
      <c r="F25" s="177">
        <v>922</v>
      </c>
      <c r="G25" s="177">
        <v>187</v>
      </c>
      <c r="H25" s="178"/>
      <c r="I25" s="177">
        <v>153</v>
      </c>
      <c r="J25" s="177">
        <v>581</v>
      </c>
      <c r="K25" s="177">
        <v>244</v>
      </c>
    </row>
    <row r="26" spans="1:11" ht="23.25" customHeight="1">
      <c r="A26" s="1196" t="s">
        <v>102</v>
      </c>
      <c r="B26" s="1196"/>
      <c r="C26" s="116" t="s">
        <v>151</v>
      </c>
      <c r="D26" s="15" t="s">
        <v>100</v>
      </c>
      <c r="E26" s="177">
        <v>124</v>
      </c>
      <c r="F26" s="177">
        <v>214</v>
      </c>
      <c r="G26" s="177">
        <v>149</v>
      </c>
      <c r="H26" s="178"/>
      <c r="I26" s="177">
        <v>122</v>
      </c>
      <c r="J26" s="177">
        <v>315</v>
      </c>
      <c r="K26" s="177">
        <v>161</v>
      </c>
    </row>
    <row r="27" spans="1:11" ht="23.25" customHeight="1">
      <c r="A27" s="1195" t="s">
        <v>152</v>
      </c>
      <c r="B27" s="1195"/>
      <c r="C27" s="116" t="s">
        <v>153</v>
      </c>
      <c r="D27" s="15" t="s">
        <v>100</v>
      </c>
      <c r="E27" s="177">
        <v>202</v>
      </c>
      <c r="F27" s="177">
        <v>1260</v>
      </c>
      <c r="G27" s="177">
        <v>252</v>
      </c>
      <c r="H27" s="178"/>
      <c r="I27" s="177">
        <v>196</v>
      </c>
      <c r="J27" s="177">
        <v>1030</v>
      </c>
      <c r="K27" s="177">
        <v>370</v>
      </c>
    </row>
    <row r="28" spans="1:11" ht="23.25" customHeight="1">
      <c r="A28" s="1196" t="s">
        <v>154</v>
      </c>
      <c r="B28" s="1196"/>
      <c r="C28" s="116" t="s">
        <v>101</v>
      </c>
      <c r="D28" s="163"/>
      <c r="E28" s="178">
        <v>7.2</v>
      </c>
      <c r="F28" s="178">
        <v>8.3000000000000007</v>
      </c>
      <c r="G28" s="179">
        <v>7.26</v>
      </c>
      <c r="H28" s="178"/>
      <c r="I28" s="177">
        <v>7</v>
      </c>
      <c r="J28" s="178">
        <v>8.1999999999999993</v>
      </c>
      <c r="K28" s="178">
        <v>7.7</v>
      </c>
    </row>
    <row r="29" spans="1:11" ht="23.25" customHeight="1">
      <c r="A29" s="1196" t="s">
        <v>155</v>
      </c>
      <c r="B29" s="1196"/>
      <c r="C29" s="116" t="s">
        <v>156</v>
      </c>
      <c r="D29" s="15" t="s">
        <v>100</v>
      </c>
      <c r="E29" s="177">
        <v>12</v>
      </c>
      <c r="F29" s="177">
        <v>61</v>
      </c>
      <c r="G29" s="177">
        <v>15</v>
      </c>
      <c r="H29" s="178"/>
      <c r="I29" s="180">
        <v>8</v>
      </c>
      <c r="J29" s="180">
        <v>80</v>
      </c>
      <c r="K29" s="180">
        <v>24</v>
      </c>
    </row>
    <row r="30" spans="1:11" ht="23.25" customHeight="1">
      <c r="A30" s="1196" t="s">
        <v>157</v>
      </c>
      <c r="B30" s="1196"/>
      <c r="C30" s="116" t="s">
        <v>158</v>
      </c>
      <c r="D30" s="15" t="s">
        <v>100</v>
      </c>
      <c r="E30" s="177">
        <v>37</v>
      </c>
      <c r="F30" s="177">
        <v>151</v>
      </c>
      <c r="G30" s="177">
        <v>45</v>
      </c>
      <c r="H30" s="181"/>
      <c r="I30" s="177">
        <v>30</v>
      </c>
      <c r="J30" s="177">
        <v>142</v>
      </c>
      <c r="K30" s="177">
        <v>55</v>
      </c>
    </row>
    <row r="31" spans="1:11" ht="23.25" customHeight="1">
      <c r="A31" s="1196" t="s">
        <v>159</v>
      </c>
      <c r="B31" s="1196"/>
      <c r="C31" s="116" t="s">
        <v>160</v>
      </c>
      <c r="D31" s="15" t="s">
        <v>100</v>
      </c>
      <c r="E31" s="177">
        <v>11</v>
      </c>
      <c r="F31" s="177">
        <v>32</v>
      </c>
      <c r="G31" s="177">
        <v>18</v>
      </c>
      <c r="H31" s="178"/>
      <c r="I31" s="177">
        <v>11</v>
      </c>
      <c r="J31" s="177">
        <v>76</v>
      </c>
      <c r="K31" s="177">
        <v>26</v>
      </c>
    </row>
    <row r="32" spans="1:11" ht="23.25" customHeight="1">
      <c r="A32" s="1196" t="s">
        <v>161</v>
      </c>
      <c r="B32" s="1196"/>
      <c r="C32" s="117" t="s">
        <v>162</v>
      </c>
      <c r="D32" s="118" t="s">
        <v>113</v>
      </c>
      <c r="E32" s="177">
        <v>320</v>
      </c>
      <c r="F32" s="177">
        <v>674</v>
      </c>
      <c r="G32" s="177">
        <v>407</v>
      </c>
      <c r="H32" s="182"/>
      <c r="I32" s="177">
        <v>322</v>
      </c>
      <c r="J32" s="177">
        <v>1377</v>
      </c>
      <c r="K32" s="177">
        <v>579</v>
      </c>
    </row>
    <row r="33" spans="1:11" ht="23.25" customHeight="1">
      <c r="A33" s="1197" t="s">
        <v>163</v>
      </c>
      <c r="B33" s="1197"/>
      <c r="C33" s="116" t="s">
        <v>164</v>
      </c>
      <c r="D33" s="15" t="s">
        <v>100</v>
      </c>
      <c r="E33" s="183">
        <v>7</v>
      </c>
      <c r="F33" s="183">
        <v>133</v>
      </c>
      <c r="G33" s="183">
        <v>11</v>
      </c>
      <c r="H33" s="182"/>
      <c r="I33" s="177">
        <v>6</v>
      </c>
      <c r="J33" s="177">
        <v>145</v>
      </c>
      <c r="K33" s="177">
        <v>22</v>
      </c>
    </row>
    <row r="34" spans="1:11" ht="23.25" customHeight="1">
      <c r="A34" s="1197" t="s">
        <v>165</v>
      </c>
      <c r="B34" s="1197"/>
      <c r="C34" s="116" t="s">
        <v>166</v>
      </c>
      <c r="D34" s="15" t="s">
        <v>100</v>
      </c>
      <c r="E34" s="182">
        <v>1.3</v>
      </c>
      <c r="F34" s="182">
        <v>5.5</v>
      </c>
      <c r="G34" s="182">
        <v>1.6</v>
      </c>
      <c r="H34" s="182"/>
      <c r="I34" s="182">
        <v>0.4</v>
      </c>
      <c r="J34" s="182">
        <v>4.5</v>
      </c>
      <c r="K34" s="182">
        <v>1.7</v>
      </c>
    </row>
    <row r="35" spans="1:11" ht="23.25" customHeight="1" thickBot="1">
      <c r="A35" s="1198" t="s">
        <v>167</v>
      </c>
      <c r="B35" s="1198"/>
      <c r="C35" s="119" t="s">
        <v>168</v>
      </c>
      <c r="D35" s="120" t="s">
        <v>100</v>
      </c>
      <c r="E35" s="184">
        <v>24</v>
      </c>
      <c r="F35" s="184">
        <v>140</v>
      </c>
      <c r="G35" s="184">
        <v>43</v>
      </c>
      <c r="H35" s="185"/>
      <c r="I35" s="184">
        <v>13</v>
      </c>
      <c r="J35" s="184">
        <v>460</v>
      </c>
      <c r="K35" s="184">
        <v>95</v>
      </c>
    </row>
    <row r="36" spans="1:11" s="137" customFormat="1" ht="23.25" customHeight="1" thickTop="1">
      <c r="A36" s="1112" t="s">
        <v>445</v>
      </c>
      <c r="B36" s="1112"/>
      <c r="C36" s="1112"/>
      <c r="D36" s="1112"/>
      <c r="E36" s="1112"/>
      <c r="F36" s="1112"/>
      <c r="G36" s="1112"/>
      <c r="H36" s="1112"/>
      <c r="I36" s="1112"/>
      <c r="J36" s="1112"/>
      <c r="K36" s="136" t="s">
        <v>74</v>
      </c>
    </row>
    <row r="37" spans="1:11" s="137" customFormat="1" ht="32.25" customHeight="1">
      <c r="A37" s="540"/>
      <c r="B37" s="540"/>
      <c r="C37" s="540"/>
      <c r="D37" s="540"/>
      <c r="E37" s="540"/>
      <c r="F37" s="540"/>
      <c r="G37" s="540"/>
      <c r="H37" s="540"/>
      <c r="I37" s="540"/>
      <c r="J37" s="540"/>
      <c r="K37" s="136"/>
    </row>
    <row r="38" spans="1:11" ht="23.25" customHeight="1">
      <c r="A38" s="519"/>
      <c r="B38" s="519"/>
      <c r="C38" s="519"/>
      <c r="D38" s="519"/>
      <c r="E38" s="519"/>
      <c r="F38" s="519"/>
      <c r="G38" s="519"/>
      <c r="H38" s="519"/>
      <c r="I38" s="519"/>
      <c r="J38" s="519"/>
    </row>
    <row r="39" spans="1:11" ht="23.25" customHeight="1">
      <c r="A39" s="514" t="s">
        <v>204</v>
      </c>
      <c r="B39" s="514"/>
      <c r="C39" s="514"/>
      <c r="D39" s="514"/>
      <c r="E39" s="122"/>
      <c r="F39" s="122"/>
      <c r="G39" s="138"/>
      <c r="H39" s="138"/>
      <c r="I39" s="138"/>
      <c r="J39" s="138"/>
      <c r="K39" s="429">
        <v>48</v>
      </c>
    </row>
    <row r="40" spans="1:11" ht="37.5" customHeight="1">
      <c r="A40" s="1118" t="s">
        <v>530</v>
      </c>
      <c r="B40" s="1118"/>
      <c r="C40" s="1118"/>
      <c r="D40" s="1118"/>
      <c r="E40" s="1118"/>
      <c r="F40" s="1118"/>
      <c r="G40" s="1118"/>
      <c r="H40" s="1118"/>
      <c r="I40" s="1118"/>
      <c r="J40" s="1118"/>
      <c r="K40" s="1118"/>
    </row>
    <row r="41" spans="1:11" ht="16.5" customHeight="1">
      <c r="A41" s="1118" t="s">
        <v>60</v>
      </c>
      <c r="B41" s="1118"/>
      <c r="C41" s="1118"/>
      <c r="D41" s="1118"/>
      <c r="E41" s="1118"/>
      <c r="F41" s="1118"/>
      <c r="G41" s="1118"/>
      <c r="H41" s="1118"/>
      <c r="I41" s="1118"/>
      <c r="J41" s="1118"/>
      <c r="K41" s="1118"/>
    </row>
    <row r="42" spans="1:11" ht="23.25" customHeight="1" thickBot="1">
      <c r="A42" s="1110" t="s">
        <v>383</v>
      </c>
      <c r="B42" s="1110"/>
      <c r="C42" s="1110"/>
      <c r="D42" s="1110"/>
      <c r="E42" s="1110"/>
      <c r="F42" s="1110"/>
      <c r="G42" s="1110"/>
      <c r="H42" s="1110"/>
      <c r="I42" s="1110"/>
      <c r="J42" s="1110"/>
      <c r="K42" s="1110"/>
    </row>
    <row r="43" spans="1:11" ht="23.25" customHeight="1" thickTop="1">
      <c r="A43" s="1116" t="s">
        <v>178</v>
      </c>
      <c r="B43" s="1116"/>
      <c r="C43" s="537"/>
      <c r="D43" s="1116" t="s">
        <v>147</v>
      </c>
      <c r="E43" s="1111" t="s">
        <v>244</v>
      </c>
      <c r="F43" s="1111"/>
      <c r="G43" s="1111"/>
      <c r="H43" s="533"/>
      <c r="I43" s="1111" t="s">
        <v>92</v>
      </c>
      <c r="J43" s="1111"/>
      <c r="K43" s="1111"/>
    </row>
    <row r="44" spans="1:11" ht="23.25" customHeight="1">
      <c r="A44" s="1190"/>
      <c r="B44" s="1190"/>
      <c r="C44" s="538"/>
      <c r="D44" s="1190"/>
      <c r="E44" s="162" t="s">
        <v>79</v>
      </c>
      <c r="F44" s="162" t="s">
        <v>80</v>
      </c>
      <c r="G44" s="162" t="s">
        <v>93</v>
      </c>
      <c r="H44" s="159"/>
      <c r="I44" s="162" t="s">
        <v>79</v>
      </c>
      <c r="J44" s="162" t="s">
        <v>80</v>
      </c>
      <c r="K44" s="162" t="s">
        <v>93</v>
      </c>
    </row>
    <row r="45" spans="1:11" ht="23.25" customHeight="1">
      <c r="A45" s="1199" t="s">
        <v>99</v>
      </c>
      <c r="B45" s="1199"/>
      <c r="C45" s="115" t="s">
        <v>148</v>
      </c>
      <c r="D45" s="15" t="s">
        <v>100</v>
      </c>
      <c r="E45" s="252">
        <v>0.6</v>
      </c>
      <c r="F45" s="291">
        <v>850</v>
      </c>
      <c r="G45" s="130">
        <v>35.119999999999997</v>
      </c>
      <c r="H45" s="130"/>
      <c r="I45" s="252">
        <v>0.2</v>
      </c>
      <c r="J45" s="332">
        <v>70</v>
      </c>
      <c r="K45" s="130">
        <v>5.85</v>
      </c>
    </row>
    <row r="46" spans="1:11" ht="23.25" customHeight="1">
      <c r="A46" s="1196" t="s">
        <v>149</v>
      </c>
      <c r="B46" s="1196"/>
      <c r="C46" s="116" t="s">
        <v>150</v>
      </c>
      <c r="D46" s="15" t="s">
        <v>100</v>
      </c>
      <c r="E46" s="116">
        <v>211</v>
      </c>
      <c r="F46" s="273">
        <v>940</v>
      </c>
      <c r="G46" s="116">
        <v>306</v>
      </c>
      <c r="H46" s="116"/>
      <c r="I46" s="116">
        <v>203</v>
      </c>
      <c r="J46" s="273">
        <v>948</v>
      </c>
      <c r="K46" s="116">
        <v>299</v>
      </c>
    </row>
    <row r="47" spans="1:11" ht="23.25" customHeight="1">
      <c r="A47" s="1196" t="s">
        <v>102</v>
      </c>
      <c r="B47" s="1196"/>
      <c r="C47" s="116" t="s">
        <v>151</v>
      </c>
      <c r="D47" s="15" t="s">
        <v>100</v>
      </c>
      <c r="E47" s="54">
        <v>120</v>
      </c>
      <c r="F47" s="273">
        <v>388</v>
      </c>
      <c r="G47" s="116">
        <v>143</v>
      </c>
      <c r="H47" s="54"/>
      <c r="I47" s="54">
        <v>120</v>
      </c>
      <c r="J47" s="333">
        <v>374</v>
      </c>
      <c r="K47" s="54">
        <v>140</v>
      </c>
    </row>
    <row r="48" spans="1:11" ht="23.25" customHeight="1">
      <c r="A48" s="1195" t="s">
        <v>152</v>
      </c>
      <c r="B48" s="1195"/>
      <c r="C48" s="116" t="s">
        <v>153</v>
      </c>
      <c r="D48" s="15" t="s">
        <v>100</v>
      </c>
      <c r="E48" s="54">
        <v>308</v>
      </c>
      <c r="F48" s="273">
        <v>2400</v>
      </c>
      <c r="G48" s="54">
        <v>514</v>
      </c>
      <c r="H48" s="54"/>
      <c r="I48" s="54">
        <v>312</v>
      </c>
      <c r="J48" s="273">
        <v>2306</v>
      </c>
      <c r="K48" s="54">
        <v>494</v>
      </c>
    </row>
    <row r="49" spans="1:11" ht="23.25" customHeight="1">
      <c r="A49" s="1196" t="s">
        <v>154</v>
      </c>
      <c r="B49" s="1196"/>
      <c r="C49" s="116" t="s">
        <v>101</v>
      </c>
      <c r="D49" s="163"/>
      <c r="E49" s="200">
        <v>6.7</v>
      </c>
      <c r="F49" s="333">
        <v>8.4</v>
      </c>
      <c r="G49" s="131">
        <v>7.43</v>
      </c>
      <c r="H49" s="131"/>
      <c r="I49" s="54">
        <v>6.5</v>
      </c>
      <c r="J49" s="333">
        <v>8.4</v>
      </c>
      <c r="K49" s="54">
        <v>7.3</v>
      </c>
    </row>
    <row r="50" spans="1:11" ht="23.25" customHeight="1">
      <c r="A50" s="1196" t="s">
        <v>155</v>
      </c>
      <c r="B50" s="1196"/>
      <c r="C50" s="116" t="s">
        <v>156</v>
      </c>
      <c r="D50" s="15" t="s">
        <v>100</v>
      </c>
      <c r="E50" s="54">
        <v>30</v>
      </c>
      <c r="F50" s="333">
        <v>388</v>
      </c>
      <c r="G50" s="54">
        <v>54</v>
      </c>
      <c r="H50" s="54"/>
      <c r="I50" s="54">
        <v>26</v>
      </c>
      <c r="J50" s="333">
        <v>283</v>
      </c>
      <c r="K50" s="54">
        <v>51</v>
      </c>
    </row>
    <row r="51" spans="1:11" ht="23.25" customHeight="1">
      <c r="A51" s="1196" t="s">
        <v>157</v>
      </c>
      <c r="B51" s="1196"/>
      <c r="C51" s="116" t="s">
        <v>158</v>
      </c>
      <c r="D51" s="15" t="s">
        <v>100</v>
      </c>
      <c r="E51" s="54">
        <v>41</v>
      </c>
      <c r="F51" s="333">
        <v>234</v>
      </c>
      <c r="G51" s="54">
        <v>82</v>
      </c>
      <c r="H51" s="54"/>
      <c r="I51" s="272">
        <v>44</v>
      </c>
      <c r="J51" s="273">
        <v>238</v>
      </c>
      <c r="K51" s="272">
        <v>80</v>
      </c>
    </row>
    <row r="52" spans="1:11" ht="23.25" customHeight="1">
      <c r="A52" s="1196" t="s">
        <v>159</v>
      </c>
      <c r="B52" s="1196"/>
      <c r="C52" s="116" t="s">
        <v>160</v>
      </c>
      <c r="D52" s="15" t="s">
        <v>100</v>
      </c>
      <c r="E52" s="54">
        <v>11</v>
      </c>
      <c r="F52" s="333">
        <v>99</v>
      </c>
      <c r="G52" s="54">
        <v>26</v>
      </c>
      <c r="H52" s="54"/>
      <c r="I52" s="272">
        <v>11</v>
      </c>
      <c r="J52" s="273">
        <v>96</v>
      </c>
      <c r="K52" s="272">
        <v>24</v>
      </c>
    </row>
    <row r="53" spans="1:11" ht="23.25" customHeight="1">
      <c r="A53" s="1196" t="s">
        <v>161</v>
      </c>
      <c r="B53" s="1196"/>
      <c r="C53" s="117" t="s">
        <v>162</v>
      </c>
      <c r="D53" s="118" t="s">
        <v>113</v>
      </c>
      <c r="E53" s="117">
        <v>482</v>
      </c>
      <c r="F53" s="272">
        <v>3720</v>
      </c>
      <c r="G53" s="117">
        <v>795</v>
      </c>
      <c r="H53" s="117"/>
      <c r="I53" s="272">
        <v>476</v>
      </c>
      <c r="J53" s="273">
        <v>3300</v>
      </c>
      <c r="K53" s="272">
        <v>768</v>
      </c>
    </row>
    <row r="54" spans="1:11" ht="23.25" customHeight="1">
      <c r="A54" s="1197" t="s">
        <v>163</v>
      </c>
      <c r="B54" s="1197"/>
      <c r="C54" s="116" t="s">
        <v>164</v>
      </c>
      <c r="D54" s="15" t="s">
        <v>100</v>
      </c>
      <c r="E54" s="54">
        <v>26</v>
      </c>
      <c r="F54" s="333">
        <v>242</v>
      </c>
      <c r="G54" s="54">
        <v>50</v>
      </c>
      <c r="H54" s="54"/>
      <c r="I54" s="272">
        <v>20</v>
      </c>
      <c r="J54" s="273">
        <v>238</v>
      </c>
      <c r="K54" s="272">
        <v>47</v>
      </c>
    </row>
    <row r="55" spans="1:11" ht="23.25" customHeight="1">
      <c r="A55" s="1197" t="s">
        <v>165</v>
      </c>
      <c r="B55" s="1197"/>
      <c r="C55" s="116" t="s">
        <v>166</v>
      </c>
      <c r="D55" s="15" t="s">
        <v>100</v>
      </c>
      <c r="E55" s="200">
        <v>2.2000000000000002</v>
      </c>
      <c r="F55" s="333">
        <v>18.600000000000001</v>
      </c>
      <c r="G55" s="200">
        <v>4.5</v>
      </c>
      <c r="H55" s="200"/>
      <c r="I55" s="200">
        <v>2.2999999999999998</v>
      </c>
      <c r="J55" s="333">
        <v>18.600000000000001</v>
      </c>
      <c r="K55" s="200">
        <v>4.2</v>
      </c>
    </row>
    <row r="56" spans="1:11" ht="23.25" customHeight="1" thickBot="1">
      <c r="A56" s="1198" t="s">
        <v>167</v>
      </c>
      <c r="B56" s="1198"/>
      <c r="C56" s="119" t="s">
        <v>168</v>
      </c>
      <c r="D56" s="120" t="s">
        <v>100</v>
      </c>
      <c r="E56" s="55">
        <v>104</v>
      </c>
      <c r="F56" s="300">
        <v>818</v>
      </c>
      <c r="G56" s="55">
        <v>196</v>
      </c>
      <c r="H56" s="55"/>
      <c r="I56" s="300">
        <v>106</v>
      </c>
      <c r="J56" s="300">
        <v>787</v>
      </c>
      <c r="K56" s="300">
        <v>188</v>
      </c>
    </row>
    <row r="57" spans="1:11" ht="23.25" customHeight="1" thickTop="1">
      <c r="A57" s="103"/>
      <c r="B57" s="103"/>
      <c r="C57" s="103"/>
      <c r="D57" s="103"/>
      <c r="E57" s="102"/>
      <c r="F57" s="334"/>
      <c r="G57" s="102"/>
      <c r="H57" s="102"/>
      <c r="I57" s="102"/>
      <c r="J57" s="334"/>
      <c r="K57" s="104"/>
    </row>
    <row r="58" spans="1:11" ht="34.5" customHeight="1">
      <c r="A58" s="1118" t="s">
        <v>530</v>
      </c>
      <c r="B58" s="1118"/>
      <c r="C58" s="1118"/>
      <c r="D58" s="1118"/>
      <c r="E58" s="1118"/>
      <c r="F58" s="1118"/>
      <c r="G58" s="1118"/>
      <c r="H58" s="1118"/>
      <c r="I58" s="1118"/>
      <c r="J58" s="1118"/>
      <c r="K58" s="1118"/>
    </row>
    <row r="59" spans="1:11" ht="15" customHeight="1">
      <c r="A59" s="1118" t="s">
        <v>296</v>
      </c>
      <c r="B59" s="1118"/>
      <c r="C59" s="1118"/>
      <c r="D59" s="1118"/>
      <c r="E59" s="1118"/>
      <c r="F59" s="1118"/>
      <c r="G59" s="1118"/>
      <c r="H59" s="1118"/>
      <c r="I59" s="1118"/>
      <c r="J59" s="1118"/>
      <c r="K59" s="1118"/>
    </row>
    <row r="60" spans="1:11" ht="23.25" customHeight="1" thickBot="1">
      <c r="A60" s="1110" t="s">
        <v>383</v>
      </c>
      <c r="B60" s="1110"/>
      <c r="C60" s="1110"/>
      <c r="D60" s="1110"/>
      <c r="E60" s="1110"/>
      <c r="F60" s="1110"/>
      <c r="G60" s="1110"/>
      <c r="H60" s="1110"/>
      <c r="I60" s="1110"/>
      <c r="J60" s="1110"/>
      <c r="K60" s="1110"/>
    </row>
    <row r="61" spans="1:11" ht="23.25" customHeight="1" thickTop="1">
      <c r="A61" s="1116" t="s">
        <v>178</v>
      </c>
      <c r="B61" s="1116"/>
      <c r="C61" s="537"/>
      <c r="D61" s="1116" t="s">
        <v>147</v>
      </c>
      <c r="E61" s="1111" t="s">
        <v>244</v>
      </c>
      <c r="F61" s="1111"/>
      <c r="G61" s="1111"/>
      <c r="H61" s="533"/>
      <c r="I61" s="1111" t="s">
        <v>92</v>
      </c>
      <c r="J61" s="1111"/>
      <c r="K61" s="1111"/>
    </row>
    <row r="62" spans="1:11" ht="23.25" customHeight="1">
      <c r="A62" s="1190"/>
      <c r="B62" s="1190"/>
      <c r="C62" s="538"/>
      <c r="D62" s="1190"/>
      <c r="E62" s="162" t="s">
        <v>79</v>
      </c>
      <c r="F62" s="162" t="s">
        <v>80</v>
      </c>
      <c r="G62" s="162" t="s">
        <v>93</v>
      </c>
      <c r="H62" s="159"/>
      <c r="I62" s="162" t="s">
        <v>79</v>
      </c>
      <c r="J62" s="162" t="s">
        <v>80</v>
      </c>
      <c r="K62" s="162" t="s">
        <v>93</v>
      </c>
    </row>
    <row r="63" spans="1:11" ht="23.25" customHeight="1">
      <c r="A63" s="1199" t="s">
        <v>99</v>
      </c>
      <c r="B63" s="1199"/>
      <c r="C63" s="115" t="s">
        <v>148</v>
      </c>
      <c r="D63" s="15" t="s">
        <v>100</v>
      </c>
      <c r="E63" s="116">
        <v>0.4</v>
      </c>
      <c r="F63" s="978">
        <v>53</v>
      </c>
      <c r="G63" s="116">
        <v>6.69</v>
      </c>
      <c r="H63" s="116"/>
      <c r="I63" s="116">
        <v>0.3</v>
      </c>
      <c r="J63" s="978">
        <v>7.5</v>
      </c>
      <c r="K63" s="979">
        <v>2.04</v>
      </c>
    </row>
    <row r="64" spans="1:11" ht="23.25" customHeight="1">
      <c r="A64" s="1196" t="s">
        <v>149</v>
      </c>
      <c r="B64" s="1196"/>
      <c r="C64" s="116" t="s">
        <v>150</v>
      </c>
      <c r="D64" s="15" t="s">
        <v>100</v>
      </c>
      <c r="E64" s="116">
        <v>330</v>
      </c>
      <c r="F64" s="978">
        <v>561</v>
      </c>
      <c r="G64" s="116">
        <v>450</v>
      </c>
      <c r="H64" s="116"/>
      <c r="I64" s="116">
        <v>322</v>
      </c>
      <c r="J64" s="978">
        <v>558</v>
      </c>
      <c r="K64" s="979">
        <v>450</v>
      </c>
    </row>
    <row r="65" spans="1:11" ht="23.25" customHeight="1">
      <c r="A65" s="1196" t="s">
        <v>102</v>
      </c>
      <c r="B65" s="1196"/>
      <c r="C65" s="116" t="s">
        <v>151</v>
      </c>
      <c r="D65" s="15" t="s">
        <v>100</v>
      </c>
      <c r="E65" s="116">
        <v>84</v>
      </c>
      <c r="F65" s="978">
        <v>140</v>
      </c>
      <c r="G65" s="116">
        <v>114</v>
      </c>
      <c r="H65" s="116"/>
      <c r="I65" s="116">
        <v>84</v>
      </c>
      <c r="J65" s="978">
        <v>156</v>
      </c>
      <c r="K65" s="979">
        <v>113</v>
      </c>
    </row>
    <row r="66" spans="1:11" ht="23.25" customHeight="1">
      <c r="A66" s="1195" t="s">
        <v>152</v>
      </c>
      <c r="B66" s="1195"/>
      <c r="C66" s="116" t="s">
        <v>153</v>
      </c>
      <c r="D66" s="15" t="s">
        <v>100</v>
      </c>
      <c r="E66" s="116">
        <v>544</v>
      </c>
      <c r="F66" s="273">
        <v>984</v>
      </c>
      <c r="G66" s="116">
        <v>790</v>
      </c>
      <c r="H66" s="116"/>
      <c r="I66" s="116">
        <v>542</v>
      </c>
      <c r="J66" s="273">
        <v>974</v>
      </c>
      <c r="K66" s="979">
        <v>790</v>
      </c>
    </row>
    <row r="67" spans="1:11" ht="23.25" customHeight="1">
      <c r="A67" s="1196" t="s">
        <v>154</v>
      </c>
      <c r="B67" s="1196"/>
      <c r="C67" s="116" t="s">
        <v>101</v>
      </c>
      <c r="D67" s="163"/>
      <c r="E67" s="116">
        <v>6.2</v>
      </c>
      <c r="F67" s="978">
        <v>8.6999999999999993</v>
      </c>
      <c r="G67" s="116">
        <v>7.78</v>
      </c>
      <c r="H67" s="116"/>
      <c r="I67" s="116">
        <v>6.4</v>
      </c>
      <c r="J67" s="978">
        <v>9.9</v>
      </c>
      <c r="K67" s="979">
        <v>7.6</v>
      </c>
    </row>
    <row r="68" spans="1:11" ht="23.25" customHeight="1">
      <c r="A68" s="1196" t="s">
        <v>155</v>
      </c>
      <c r="B68" s="1196"/>
      <c r="C68" s="116" t="s">
        <v>156</v>
      </c>
      <c r="D68" s="15" t="s">
        <v>100</v>
      </c>
      <c r="E68" s="116">
        <v>91</v>
      </c>
      <c r="F68" s="978">
        <v>179</v>
      </c>
      <c r="G68" s="116">
        <v>139</v>
      </c>
      <c r="H68" s="116"/>
      <c r="I68" s="116">
        <v>94</v>
      </c>
      <c r="J68" s="978">
        <v>179</v>
      </c>
      <c r="K68" s="979">
        <v>139</v>
      </c>
    </row>
    <row r="69" spans="1:11" ht="23.25" customHeight="1">
      <c r="A69" s="1196" t="s">
        <v>157</v>
      </c>
      <c r="B69" s="1196"/>
      <c r="C69" s="116" t="s">
        <v>158</v>
      </c>
      <c r="D69" s="15" t="s">
        <v>100</v>
      </c>
      <c r="E69" s="116">
        <v>80</v>
      </c>
      <c r="F69" s="978">
        <v>146</v>
      </c>
      <c r="G69" s="116">
        <v>113</v>
      </c>
      <c r="H69" s="116"/>
      <c r="I69" s="116">
        <v>79</v>
      </c>
      <c r="J69" s="978">
        <v>156</v>
      </c>
      <c r="K69" s="979">
        <v>113</v>
      </c>
    </row>
    <row r="70" spans="1:11" ht="23.25" customHeight="1">
      <c r="A70" s="1196" t="s">
        <v>159</v>
      </c>
      <c r="B70" s="1196"/>
      <c r="C70" s="116" t="s">
        <v>160</v>
      </c>
      <c r="D70" s="15" t="s">
        <v>100</v>
      </c>
      <c r="E70" s="116">
        <v>23</v>
      </c>
      <c r="F70" s="978">
        <v>55</v>
      </c>
      <c r="G70" s="116">
        <v>41</v>
      </c>
      <c r="H70" s="116"/>
      <c r="I70" s="116">
        <v>25</v>
      </c>
      <c r="J70" s="978">
        <v>56</v>
      </c>
      <c r="K70" s="979">
        <v>41</v>
      </c>
    </row>
    <row r="71" spans="1:11" ht="23.25" customHeight="1">
      <c r="A71" s="1196" t="s">
        <v>161</v>
      </c>
      <c r="B71" s="1196"/>
      <c r="C71" s="117" t="s">
        <v>162</v>
      </c>
      <c r="D71" s="118" t="s">
        <v>113</v>
      </c>
      <c r="E71" s="978">
        <v>810</v>
      </c>
      <c r="F71" s="273">
        <v>1576</v>
      </c>
      <c r="G71" s="273">
        <v>1175</v>
      </c>
      <c r="H71" s="273"/>
      <c r="I71" s="978">
        <v>779</v>
      </c>
      <c r="J71" s="273">
        <v>1571</v>
      </c>
      <c r="K71" s="273">
        <v>1181</v>
      </c>
    </row>
    <row r="72" spans="1:11" ht="23.25" customHeight="1">
      <c r="A72" s="1197" t="s">
        <v>163</v>
      </c>
      <c r="B72" s="1197"/>
      <c r="C72" s="116" t="s">
        <v>164</v>
      </c>
      <c r="D72" s="15" t="s">
        <v>100</v>
      </c>
      <c r="E72" s="116">
        <v>64</v>
      </c>
      <c r="F72" s="978">
        <v>142</v>
      </c>
      <c r="G72" s="116">
        <v>101</v>
      </c>
      <c r="H72" s="116"/>
      <c r="I72" s="116">
        <v>60</v>
      </c>
      <c r="J72" s="978">
        <v>134</v>
      </c>
      <c r="K72" s="979">
        <v>101</v>
      </c>
    </row>
    <row r="73" spans="1:11" ht="23.25" customHeight="1">
      <c r="A73" s="1197" t="s">
        <v>165</v>
      </c>
      <c r="B73" s="1197"/>
      <c r="C73" s="116" t="s">
        <v>166</v>
      </c>
      <c r="D73" s="15" t="s">
        <v>100</v>
      </c>
      <c r="E73" s="116">
        <v>2.2999999999999998</v>
      </c>
      <c r="F73" s="978">
        <v>9.1999999999999993</v>
      </c>
      <c r="G73" s="116">
        <v>6.2</v>
      </c>
      <c r="H73" s="116"/>
      <c r="I73" s="116">
        <v>2.2999999999999998</v>
      </c>
      <c r="J73" s="978">
        <v>10</v>
      </c>
      <c r="K73" s="979">
        <v>6.3</v>
      </c>
    </row>
    <row r="74" spans="1:11" ht="23.25" customHeight="1" thickBot="1">
      <c r="A74" s="1198" t="s">
        <v>167</v>
      </c>
      <c r="B74" s="1198"/>
      <c r="C74" s="119" t="s">
        <v>168</v>
      </c>
      <c r="D74" s="120" t="s">
        <v>100</v>
      </c>
      <c r="E74" s="116">
        <v>218</v>
      </c>
      <c r="F74" s="978">
        <v>468</v>
      </c>
      <c r="G74" s="116">
        <v>358</v>
      </c>
      <c r="H74" s="119"/>
      <c r="I74" s="119">
        <v>212</v>
      </c>
      <c r="J74" s="980">
        <v>450</v>
      </c>
      <c r="K74" s="981">
        <v>359</v>
      </c>
    </row>
    <row r="75" spans="1:11" ht="23.25" customHeight="1" thickTop="1">
      <c r="A75" s="1200" t="s">
        <v>445</v>
      </c>
      <c r="B75" s="1200"/>
      <c r="C75" s="1200"/>
      <c r="D75" s="1200"/>
      <c r="E75" s="1200"/>
      <c r="F75" s="1200"/>
      <c r="G75" s="489"/>
      <c r="H75" s="489"/>
      <c r="I75" s="86"/>
      <c r="J75" s="337"/>
      <c r="K75" s="136" t="s">
        <v>74</v>
      </c>
    </row>
    <row r="76" spans="1:11" ht="31.5" customHeight="1">
      <c r="A76" s="513"/>
      <c r="B76" s="513"/>
      <c r="C76" s="513"/>
      <c r="D76" s="513"/>
      <c r="E76" s="513"/>
      <c r="F76" s="513"/>
      <c r="G76" s="513"/>
      <c r="H76" s="513"/>
      <c r="I76" s="86"/>
      <c r="J76" s="337"/>
      <c r="K76" s="136"/>
    </row>
    <row r="77" spans="1:11" ht="23.25" customHeight="1">
      <c r="A77" s="540"/>
      <c r="B77" s="540"/>
      <c r="C77" s="540"/>
      <c r="D77" s="540"/>
      <c r="E77" s="540"/>
      <c r="F77" s="540"/>
      <c r="G77" s="540"/>
      <c r="H77" s="540"/>
      <c r="I77" s="540"/>
      <c r="J77" s="338"/>
      <c r="K77" s="540"/>
    </row>
    <row r="78" spans="1:11" ht="23.25" customHeight="1">
      <c r="A78" s="536" t="s">
        <v>204</v>
      </c>
      <c r="B78" s="536"/>
      <c r="C78" s="536"/>
      <c r="D78" s="536"/>
      <c r="E78" s="536"/>
      <c r="F78" s="536"/>
      <c r="G78" s="138"/>
      <c r="H78" s="138"/>
      <c r="I78" s="138"/>
      <c r="J78" s="339"/>
      <c r="K78" s="429">
        <v>49</v>
      </c>
    </row>
    <row r="79" spans="1:11" ht="38.25" customHeight="1">
      <c r="A79" s="1118" t="s">
        <v>530</v>
      </c>
      <c r="B79" s="1118"/>
      <c r="C79" s="1118"/>
      <c r="D79" s="1118"/>
      <c r="E79" s="1118"/>
      <c r="F79" s="1118"/>
      <c r="G79" s="1118"/>
      <c r="H79" s="1118"/>
      <c r="I79" s="1118"/>
      <c r="J79" s="1118"/>
      <c r="K79" s="1118"/>
    </row>
    <row r="80" spans="1:11" ht="18" customHeight="1">
      <c r="A80" s="1118" t="s">
        <v>30</v>
      </c>
      <c r="B80" s="1118"/>
      <c r="C80" s="1118"/>
      <c r="D80" s="1118"/>
      <c r="E80" s="1118"/>
      <c r="F80" s="1118"/>
      <c r="G80" s="1118"/>
      <c r="H80" s="1118"/>
      <c r="I80" s="1118"/>
      <c r="J80" s="1118"/>
      <c r="K80" s="1118"/>
    </row>
    <row r="81" spans="1:11" ht="23.25" customHeight="1" thickBot="1">
      <c r="A81" s="1110" t="s">
        <v>383</v>
      </c>
      <c r="B81" s="1110"/>
      <c r="C81" s="1110"/>
      <c r="D81" s="1110"/>
      <c r="E81" s="1110"/>
      <c r="F81" s="1110"/>
      <c r="G81" s="1110"/>
      <c r="H81" s="1110"/>
      <c r="I81" s="1110"/>
      <c r="J81" s="1110"/>
      <c r="K81" s="1110"/>
    </row>
    <row r="82" spans="1:11" ht="23.25" customHeight="1" thickTop="1">
      <c r="A82" s="1116" t="s">
        <v>178</v>
      </c>
      <c r="B82" s="1116"/>
      <c r="C82" s="515"/>
      <c r="D82" s="1116" t="s">
        <v>147</v>
      </c>
      <c r="E82" s="1111" t="s">
        <v>244</v>
      </c>
      <c r="F82" s="1111"/>
      <c r="G82" s="1111"/>
      <c r="H82" s="517"/>
      <c r="I82" s="1111" t="s">
        <v>92</v>
      </c>
      <c r="J82" s="1111"/>
      <c r="K82" s="1111"/>
    </row>
    <row r="83" spans="1:11" ht="23.25" customHeight="1">
      <c r="A83" s="1190"/>
      <c r="B83" s="1190"/>
      <c r="C83" s="518"/>
      <c r="D83" s="1190"/>
      <c r="E83" s="162" t="s">
        <v>79</v>
      </c>
      <c r="F83" s="162" t="s">
        <v>80</v>
      </c>
      <c r="G83" s="162" t="s">
        <v>93</v>
      </c>
      <c r="H83" s="159"/>
      <c r="I83" s="162" t="s">
        <v>79</v>
      </c>
      <c r="J83" s="162" t="s">
        <v>80</v>
      </c>
      <c r="K83" s="162" t="s">
        <v>93</v>
      </c>
    </row>
    <row r="84" spans="1:11" ht="23.25" customHeight="1">
      <c r="A84" s="1199" t="s">
        <v>99</v>
      </c>
      <c r="B84" s="1199"/>
      <c r="C84" s="115" t="s">
        <v>148</v>
      </c>
      <c r="D84" s="15" t="s">
        <v>100</v>
      </c>
      <c r="E84" s="274">
        <v>1.04</v>
      </c>
      <c r="F84" s="888">
        <v>86.2</v>
      </c>
      <c r="G84" s="274">
        <v>19.36</v>
      </c>
      <c r="H84" s="274"/>
      <c r="I84" s="274">
        <v>0.23</v>
      </c>
      <c r="J84" s="568">
        <v>85</v>
      </c>
      <c r="K84" s="274">
        <v>9.89</v>
      </c>
    </row>
    <row r="85" spans="1:11" ht="23.25" customHeight="1">
      <c r="A85" s="1196" t="s">
        <v>149</v>
      </c>
      <c r="B85" s="1196"/>
      <c r="C85" s="116" t="s">
        <v>150</v>
      </c>
      <c r="D85" s="15" t="s">
        <v>100</v>
      </c>
      <c r="E85" s="299">
        <v>221</v>
      </c>
      <c r="F85" s="299">
        <v>532</v>
      </c>
      <c r="G85" s="299">
        <v>380</v>
      </c>
      <c r="H85" s="296"/>
      <c r="I85" s="299">
        <v>210</v>
      </c>
      <c r="J85" s="299">
        <v>550</v>
      </c>
      <c r="K85" s="299">
        <v>353</v>
      </c>
    </row>
    <row r="86" spans="1:11" ht="23.25" customHeight="1">
      <c r="A86" s="1196" t="s">
        <v>102</v>
      </c>
      <c r="B86" s="1196"/>
      <c r="C86" s="116" t="s">
        <v>151</v>
      </c>
      <c r="D86" s="15" t="s">
        <v>100</v>
      </c>
      <c r="E86" s="299">
        <v>80</v>
      </c>
      <c r="F86" s="299">
        <v>166</v>
      </c>
      <c r="G86" s="299">
        <v>125</v>
      </c>
      <c r="H86" s="296"/>
      <c r="I86" s="299">
        <v>80</v>
      </c>
      <c r="J86" s="299">
        <v>190</v>
      </c>
      <c r="K86" s="299">
        <v>130</v>
      </c>
    </row>
    <row r="87" spans="1:11" ht="23.25" customHeight="1">
      <c r="A87" s="1195" t="s">
        <v>152</v>
      </c>
      <c r="B87" s="1195"/>
      <c r="C87" s="116" t="s">
        <v>153</v>
      </c>
      <c r="D87" s="15" t="s">
        <v>100</v>
      </c>
      <c r="E87" s="273">
        <v>314</v>
      </c>
      <c r="F87" s="273">
        <v>952</v>
      </c>
      <c r="G87" s="273">
        <v>660</v>
      </c>
      <c r="H87" s="561"/>
      <c r="I87" s="273">
        <v>308</v>
      </c>
      <c r="J87" s="273">
        <v>960</v>
      </c>
      <c r="K87" s="273">
        <v>596</v>
      </c>
    </row>
    <row r="88" spans="1:11" ht="23.25" customHeight="1">
      <c r="A88" s="1196" t="s">
        <v>154</v>
      </c>
      <c r="B88" s="1196"/>
      <c r="C88" s="116" t="s">
        <v>101</v>
      </c>
      <c r="D88" s="163"/>
      <c r="E88" s="295">
        <v>6.8</v>
      </c>
      <c r="F88" s="296">
        <v>8.18</v>
      </c>
      <c r="G88" s="296">
        <v>7.44</v>
      </c>
      <c r="H88" s="296"/>
      <c r="I88" s="295">
        <v>6.5</v>
      </c>
      <c r="J88" s="295">
        <v>8.4</v>
      </c>
      <c r="K88" s="295">
        <v>7.3</v>
      </c>
    </row>
    <row r="89" spans="1:11" ht="23.25" customHeight="1">
      <c r="A89" s="1196" t="s">
        <v>155</v>
      </c>
      <c r="B89" s="1196"/>
      <c r="C89" s="116" t="s">
        <v>156</v>
      </c>
      <c r="D89" s="15" t="s">
        <v>100</v>
      </c>
      <c r="E89" s="299">
        <v>38</v>
      </c>
      <c r="F89" s="299">
        <v>167</v>
      </c>
      <c r="G89" s="299">
        <v>107</v>
      </c>
      <c r="H89" s="296"/>
      <c r="I89" s="299">
        <v>35</v>
      </c>
      <c r="J89" s="299">
        <v>180</v>
      </c>
      <c r="K89" s="299">
        <v>95</v>
      </c>
    </row>
    <row r="90" spans="1:11" ht="23.25" customHeight="1">
      <c r="A90" s="1196" t="s">
        <v>157</v>
      </c>
      <c r="B90" s="1196"/>
      <c r="C90" s="116" t="s">
        <v>158</v>
      </c>
      <c r="D90" s="15" t="s">
        <v>100</v>
      </c>
      <c r="E90" s="299">
        <v>55</v>
      </c>
      <c r="F90" s="299">
        <v>150</v>
      </c>
      <c r="G90" s="299">
        <v>103</v>
      </c>
      <c r="H90" s="296"/>
      <c r="I90" s="299">
        <v>50</v>
      </c>
      <c r="J90" s="299">
        <v>159</v>
      </c>
      <c r="K90" s="295">
        <v>94.6</v>
      </c>
    </row>
    <row r="91" spans="1:11" ht="23.25" customHeight="1">
      <c r="A91" s="1196" t="s">
        <v>159</v>
      </c>
      <c r="B91" s="1196"/>
      <c r="C91" s="116" t="s">
        <v>160</v>
      </c>
      <c r="D91" s="15" t="s">
        <v>100</v>
      </c>
      <c r="E91" s="299">
        <v>19</v>
      </c>
      <c r="F91" s="299">
        <v>42</v>
      </c>
      <c r="G91" s="299">
        <v>30</v>
      </c>
      <c r="H91" s="296"/>
      <c r="I91" s="299">
        <v>16</v>
      </c>
      <c r="J91" s="299">
        <v>43</v>
      </c>
      <c r="K91" s="299">
        <v>28</v>
      </c>
    </row>
    <row r="92" spans="1:11" ht="23.25" customHeight="1">
      <c r="A92" s="1196" t="s">
        <v>161</v>
      </c>
      <c r="B92" s="1196"/>
      <c r="C92" s="117" t="s">
        <v>162</v>
      </c>
      <c r="D92" s="118" t="s">
        <v>113</v>
      </c>
      <c r="E92" s="299">
        <v>471</v>
      </c>
      <c r="F92" s="273">
        <v>1362</v>
      </c>
      <c r="G92" s="564">
        <v>997</v>
      </c>
      <c r="H92" s="562"/>
      <c r="I92" s="565">
        <v>454</v>
      </c>
      <c r="J92" s="272">
        <v>1388</v>
      </c>
      <c r="K92" s="565">
        <v>914</v>
      </c>
    </row>
    <row r="93" spans="1:11" ht="23.25" customHeight="1">
      <c r="A93" s="1197" t="s">
        <v>163</v>
      </c>
      <c r="B93" s="1197"/>
      <c r="C93" s="116" t="s">
        <v>164</v>
      </c>
      <c r="D93" s="15" t="s">
        <v>100</v>
      </c>
      <c r="E93" s="254">
        <v>0</v>
      </c>
      <c r="F93" s="254">
        <v>0</v>
      </c>
      <c r="G93" s="254">
        <v>0</v>
      </c>
      <c r="H93" s="131">
        <v>0</v>
      </c>
      <c r="I93" s="254">
        <v>0</v>
      </c>
      <c r="J93" s="254">
        <v>0</v>
      </c>
      <c r="K93" s="254">
        <v>0</v>
      </c>
    </row>
    <row r="94" spans="1:11" ht="23.25" customHeight="1">
      <c r="A94" s="1197" t="s">
        <v>165</v>
      </c>
      <c r="B94" s="1197"/>
      <c r="C94" s="116" t="s">
        <v>166</v>
      </c>
      <c r="D94" s="15" t="s">
        <v>100</v>
      </c>
      <c r="E94" s="254">
        <v>0</v>
      </c>
      <c r="F94" s="254">
        <v>0</v>
      </c>
      <c r="G94" s="254">
        <v>0</v>
      </c>
      <c r="H94" s="131">
        <v>0</v>
      </c>
      <c r="I94" s="254">
        <v>0</v>
      </c>
      <c r="J94" s="254">
        <v>0</v>
      </c>
      <c r="K94" s="254">
        <v>0</v>
      </c>
    </row>
    <row r="95" spans="1:11" ht="23.25" customHeight="1" thickBot="1">
      <c r="A95" s="1198" t="s">
        <v>167</v>
      </c>
      <c r="B95" s="1198"/>
      <c r="C95" s="119" t="s">
        <v>168</v>
      </c>
      <c r="D95" s="120" t="s">
        <v>100</v>
      </c>
      <c r="E95" s="566">
        <v>80</v>
      </c>
      <c r="F95" s="566">
        <v>430</v>
      </c>
      <c r="G95" s="566">
        <v>261</v>
      </c>
      <c r="H95" s="563"/>
      <c r="I95" s="566">
        <v>79</v>
      </c>
      <c r="J95" s="566">
        <v>451</v>
      </c>
      <c r="K95" s="566">
        <v>228</v>
      </c>
    </row>
    <row r="96" spans="1:11" ht="23.25" customHeight="1" thickTop="1">
      <c r="A96" s="481"/>
      <c r="B96" s="481"/>
      <c r="C96" s="481"/>
      <c r="D96" s="481"/>
      <c r="E96" s="102"/>
      <c r="F96" s="102"/>
      <c r="G96" s="102"/>
      <c r="H96" s="102"/>
      <c r="I96" s="102"/>
      <c r="J96" s="102"/>
      <c r="K96" s="104"/>
    </row>
    <row r="97" spans="1:11" ht="29.25" customHeight="1">
      <c r="A97" s="1118" t="s">
        <v>530</v>
      </c>
      <c r="B97" s="1118"/>
      <c r="C97" s="1118"/>
      <c r="D97" s="1118"/>
      <c r="E97" s="1118"/>
      <c r="F97" s="1118"/>
      <c r="G97" s="1118"/>
      <c r="H97" s="1118"/>
      <c r="I97" s="1118"/>
      <c r="J97" s="1118"/>
      <c r="K97" s="1118"/>
    </row>
    <row r="98" spans="1:11" ht="14.25" customHeight="1">
      <c r="A98" s="1118" t="s">
        <v>64</v>
      </c>
      <c r="B98" s="1118"/>
      <c r="C98" s="1118"/>
      <c r="D98" s="1118"/>
      <c r="E98" s="1118"/>
      <c r="F98" s="1118"/>
      <c r="G98" s="1118"/>
      <c r="H98" s="1118"/>
      <c r="I98" s="1118"/>
      <c r="J98" s="1118"/>
      <c r="K98" s="1118"/>
    </row>
    <row r="99" spans="1:11" ht="23.25" customHeight="1" thickBot="1">
      <c r="A99" s="1110" t="s">
        <v>383</v>
      </c>
      <c r="B99" s="1110"/>
      <c r="C99" s="1110"/>
      <c r="D99" s="1110"/>
      <c r="E99" s="1110"/>
      <c r="F99" s="1110"/>
      <c r="G99" s="1110"/>
      <c r="H99" s="1110"/>
      <c r="I99" s="1110"/>
      <c r="J99" s="1110"/>
      <c r="K99" s="1110"/>
    </row>
    <row r="100" spans="1:11" ht="23.25" customHeight="1" thickTop="1">
      <c r="A100" s="1116" t="s">
        <v>178</v>
      </c>
      <c r="B100" s="1116"/>
      <c r="C100" s="515"/>
      <c r="D100" s="1116" t="s">
        <v>147</v>
      </c>
      <c r="E100" s="1111" t="s">
        <v>244</v>
      </c>
      <c r="F100" s="1111"/>
      <c r="G100" s="1111"/>
      <c r="H100" s="517"/>
      <c r="I100" s="1111" t="s">
        <v>92</v>
      </c>
      <c r="J100" s="1111"/>
      <c r="K100" s="1111"/>
    </row>
    <row r="101" spans="1:11" ht="23.25" customHeight="1">
      <c r="A101" s="1190"/>
      <c r="B101" s="1190"/>
      <c r="C101" s="518"/>
      <c r="D101" s="1190"/>
      <c r="E101" s="162" t="s">
        <v>79</v>
      </c>
      <c r="F101" s="162" t="s">
        <v>80</v>
      </c>
      <c r="G101" s="162" t="s">
        <v>93</v>
      </c>
      <c r="H101" s="159"/>
      <c r="I101" s="162" t="s">
        <v>79</v>
      </c>
      <c r="J101" s="162" t="s">
        <v>80</v>
      </c>
      <c r="K101" s="162" t="s">
        <v>93</v>
      </c>
    </row>
    <row r="102" spans="1:11" ht="23.25" customHeight="1">
      <c r="A102" s="1199" t="s">
        <v>99</v>
      </c>
      <c r="B102" s="1199"/>
      <c r="C102" s="115" t="s">
        <v>148</v>
      </c>
      <c r="D102" s="15" t="s">
        <v>100</v>
      </c>
      <c r="E102" s="279">
        <v>0.5</v>
      </c>
      <c r="F102" s="277">
        <v>399</v>
      </c>
      <c r="G102" s="278">
        <v>16.91</v>
      </c>
      <c r="H102" s="278"/>
      <c r="I102" s="279">
        <v>0.3</v>
      </c>
      <c r="J102" s="277">
        <v>121</v>
      </c>
      <c r="K102" s="278">
        <v>6.87</v>
      </c>
    </row>
    <row r="103" spans="1:11" ht="23.25" customHeight="1">
      <c r="A103" s="1196" t="s">
        <v>149</v>
      </c>
      <c r="B103" s="1196"/>
      <c r="C103" s="116" t="s">
        <v>150</v>
      </c>
      <c r="D103" s="15" t="s">
        <v>100</v>
      </c>
      <c r="E103" s="280">
        <v>428</v>
      </c>
      <c r="F103" s="280">
        <v>600</v>
      </c>
      <c r="G103" s="280">
        <v>487</v>
      </c>
      <c r="H103" s="282"/>
      <c r="I103" s="280">
        <v>425</v>
      </c>
      <c r="J103" s="280">
        <v>593</v>
      </c>
      <c r="K103" s="280">
        <v>488</v>
      </c>
    </row>
    <row r="104" spans="1:11" ht="23.25" customHeight="1">
      <c r="A104" s="1196" t="s">
        <v>102</v>
      </c>
      <c r="B104" s="1196"/>
      <c r="C104" s="116" t="s">
        <v>151</v>
      </c>
      <c r="D104" s="15" t="s">
        <v>100</v>
      </c>
      <c r="E104" s="280">
        <v>96</v>
      </c>
      <c r="F104" s="280">
        <v>150</v>
      </c>
      <c r="G104" s="280">
        <v>123</v>
      </c>
      <c r="H104" s="282"/>
      <c r="I104" s="280">
        <v>96</v>
      </c>
      <c r="J104" s="280">
        <v>154</v>
      </c>
      <c r="K104" s="280">
        <v>121</v>
      </c>
    </row>
    <row r="105" spans="1:11" ht="23.25" customHeight="1">
      <c r="A105" s="1195" t="s">
        <v>152</v>
      </c>
      <c r="B105" s="1195"/>
      <c r="C105" s="116" t="s">
        <v>153</v>
      </c>
      <c r="D105" s="15" t="s">
        <v>100</v>
      </c>
      <c r="E105" s="280">
        <v>750</v>
      </c>
      <c r="F105" s="280">
        <v>1224</v>
      </c>
      <c r="G105" s="280">
        <v>890</v>
      </c>
      <c r="H105" s="282"/>
      <c r="I105" s="280">
        <v>778</v>
      </c>
      <c r="J105" s="280">
        <v>1272</v>
      </c>
      <c r="K105" s="280">
        <v>896</v>
      </c>
    </row>
    <row r="106" spans="1:11" ht="23.25" customHeight="1">
      <c r="A106" s="1196" t="s">
        <v>154</v>
      </c>
      <c r="B106" s="1196"/>
      <c r="C106" s="116" t="s">
        <v>101</v>
      </c>
      <c r="D106" s="163"/>
      <c r="E106" s="282">
        <v>6.5</v>
      </c>
      <c r="F106" s="282">
        <v>8.5</v>
      </c>
      <c r="G106" s="281">
        <v>7.78</v>
      </c>
      <c r="H106" s="281"/>
      <c r="I106" s="282">
        <v>6.7</v>
      </c>
      <c r="J106" s="282">
        <v>8.5</v>
      </c>
      <c r="K106" s="282">
        <v>7.7</v>
      </c>
    </row>
    <row r="107" spans="1:11" ht="23.25" customHeight="1">
      <c r="A107" s="1196" t="s">
        <v>155</v>
      </c>
      <c r="B107" s="1196"/>
      <c r="C107" s="116" t="s">
        <v>156</v>
      </c>
      <c r="D107" s="15" t="s">
        <v>100</v>
      </c>
      <c r="E107" s="280">
        <v>127</v>
      </c>
      <c r="F107" s="280">
        <v>266</v>
      </c>
      <c r="G107" s="280">
        <v>147</v>
      </c>
      <c r="H107" s="282"/>
      <c r="I107" s="280">
        <v>116</v>
      </c>
      <c r="J107" s="280">
        <v>225</v>
      </c>
      <c r="K107" s="280">
        <v>149</v>
      </c>
    </row>
    <row r="108" spans="1:11" ht="23.25" customHeight="1">
      <c r="A108" s="1196" t="s">
        <v>157</v>
      </c>
      <c r="B108" s="1196"/>
      <c r="C108" s="116" t="s">
        <v>158</v>
      </c>
      <c r="D108" s="15" t="s">
        <v>100</v>
      </c>
      <c r="E108" s="283">
        <v>102</v>
      </c>
      <c r="F108" s="283">
        <v>161</v>
      </c>
      <c r="G108" s="283">
        <v>122</v>
      </c>
      <c r="H108" s="284"/>
      <c r="I108" s="280">
        <v>102</v>
      </c>
      <c r="J108" s="280">
        <v>184</v>
      </c>
      <c r="K108" s="280">
        <v>122</v>
      </c>
    </row>
    <row r="109" spans="1:11" ht="23.25" customHeight="1">
      <c r="A109" s="1196" t="s">
        <v>159</v>
      </c>
      <c r="B109" s="1196"/>
      <c r="C109" s="116" t="s">
        <v>160</v>
      </c>
      <c r="D109" s="15" t="s">
        <v>100</v>
      </c>
      <c r="E109" s="280">
        <v>28</v>
      </c>
      <c r="F109" s="280">
        <v>61</v>
      </c>
      <c r="G109" s="280">
        <v>45</v>
      </c>
      <c r="H109" s="282"/>
      <c r="I109" s="280">
        <v>14</v>
      </c>
      <c r="J109" s="280">
        <v>58</v>
      </c>
      <c r="K109" s="280">
        <v>45</v>
      </c>
    </row>
    <row r="110" spans="1:11" ht="23.25" customHeight="1">
      <c r="A110" s="1196" t="s">
        <v>161</v>
      </c>
      <c r="B110" s="1196"/>
      <c r="C110" s="117" t="s">
        <v>162</v>
      </c>
      <c r="D110" s="118" t="s">
        <v>113</v>
      </c>
      <c r="E110" s="280">
        <v>1239</v>
      </c>
      <c r="F110" s="280">
        <v>1868</v>
      </c>
      <c r="G110" s="280">
        <v>1399</v>
      </c>
      <c r="H110" s="285"/>
      <c r="I110" s="286">
        <v>1245</v>
      </c>
      <c r="J110" s="286">
        <v>1890</v>
      </c>
      <c r="K110" s="286">
        <v>1404</v>
      </c>
    </row>
    <row r="111" spans="1:11" ht="23.25" customHeight="1">
      <c r="A111" s="1197" t="s">
        <v>163</v>
      </c>
      <c r="B111" s="1197"/>
      <c r="C111" s="116" t="s">
        <v>164</v>
      </c>
      <c r="D111" s="15" t="s">
        <v>100</v>
      </c>
      <c r="E111" s="280">
        <v>69</v>
      </c>
      <c r="F111" s="280">
        <v>159</v>
      </c>
      <c r="G111" s="280">
        <v>111</v>
      </c>
      <c r="H111" s="285"/>
      <c r="I111" s="286">
        <v>71</v>
      </c>
      <c r="J111" s="286">
        <v>157</v>
      </c>
      <c r="K111" s="286">
        <v>114</v>
      </c>
    </row>
    <row r="112" spans="1:11" ht="23.25" customHeight="1">
      <c r="A112" s="1197" t="s">
        <v>165</v>
      </c>
      <c r="B112" s="1197"/>
      <c r="C112" s="116" t="s">
        <v>166</v>
      </c>
      <c r="D112" s="15" t="s">
        <v>100</v>
      </c>
      <c r="E112" s="280">
        <v>3</v>
      </c>
      <c r="F112" s="282">
        <v>6.8</v>
      </c>
      <c r="G112" s="282">
        <v>4.2</v>
      </c>
      <c r="H112" s="285"/>
      <c r="I112" s="286">
        <v>3</v>
      </c>
      <c r="J112" s="286">
        <v>6</v>
      </c>
      <c r="K112" s="285">
        <v>4.2</v>
      </c>
    </row>
    <row r="113" spans="1:11" ht="23.25" customHeight="1" thickBot="1">
      <c r="A113" s="520" t="s">
        <v>167</v>
      </c>
      <c r="B113" s="520"/>
      <c r="C113" s="119" t="s">
        <v>168</v>
      </c>
      <c r="D113" s="120" t="s">
        <v>100</v>
      </c>
      <c r="E113" s="288">
        <v>347</v>
      </c>
      <c r="F113" s="288">
        <v>488</v>
      </c>
      <c r="G113" s="288">
        <v>398</v>
      </c>
      <c r="H113" s="289"/>
      <c r="I113" s="288">
        <v>250</v>
      </c>
      <c r="J113" s="288">
        <v>493</v>
      </c>
      <c r="K113" s="288">
        <v>396</v>
      </c>
    </row>
    <row r="114" spans="1:11" ht="23.25" customHeight="1" thickTop="1">
      <c r="A114" s="1112" t="s">
        <v>445</v>
      </c>
      <c r="B114" s="1112"/>
      <c r="C114" s="1112"/>
      <c r="D114" s="1112"/>
      <c r="E114" s="1112"/>
      <c r="F114" s="1112"/>
      <c r="G114" s="1112"/>
      <c r="H114" s="1112"/>
      <c r="I114" s="1112"/>
      <c r="J114" s="1112"/>
      <c r="K114" s="136" t="s">
        <v>74</v>
      </c>
    </row>
    <row r="115" spans="1:11" ht="23.25" customHeight="1">
      <c r="A115" s="540"/>
      <c r="B115" s="540"/>
      <c r="C115" s="540"/>
      <c r="D115" s="540"/>
      <c r="E115" s="540"/>
      <c r="F115" s="540"/>
      <c r="G115" s="540"/>
      <c r="H115" s="540"/>
      <c r="I115" s="540"/>
      <c r="J115" s="540"/>
      <c r="K115" s="136"/>
    </row>
    <row r="116" spans="1:11" ht="6" customHeight="1">
      <c r="A116" s="599"/>
      <c r="B116" s="599"/>
      <c r="C116" s="599"/>
      <c r="D116" s="599"/>
      <c r="E116" s="599"/>
      <c r="F116" s="599"/>
      <c r="G116" s="599"/>
      <c r="H116" s="599"/>
      <c r="I116" s="599"/>
      <c r="J116" s="599"/>
      <c r="K116" s="136"/>
    </row>
    <row r="117" spans="1:11" ht="23.25" customHeight="1">
      <c r="J117" s="519"/>
    </row>
    <row r="118" spans="1:11" ht="23.25" customHeight="1">
      <c r="A118" s="514" t="s">
        <v>204</v>
      </c>
      <c r="B118" s="514"/>
      <c r="C118" s="514"/>
      <c r="D118" s="514"/>
      <c r="E118" s="514"/>
      <c r="F118" s="514"/>
      <c r="G118" s="138"/>
      <c r="H118" s="138"/>
      <c r="I118" s="138"/>
      <c r="J118" s="138"/>
      <c r="K118" s="429">
        <v>50</v>
      </c>
    </row>
    <row r="119" spans="1:11" ht="30.75" customHeight="1">
      <c r="A119" s="1118" t="s">
        <v>530</v>
      </c>
      <c r="B119" s="1118"/>
      <c r="C119" s="1118"/>
      <c r="D119" s="1118"/>
      <c r="E119" s="1118"/>
      <c r="F119" s="1118"/>
      <c r="G119" s="1118"/>
      <c r="H119" s="1118"/>
      <c r="I119" s="1118"/>
      <c r="J119" s="1118"/>
      <c r="K119" s="1118"/>
    </row>
    <row r="120" spans="1:11" ht="17.25" customHeight="1">
      <c r="A120" s="1118" t="s">
        <v>56</v>
      </c>
      <c r="B120" s="1118"/>
      <c r="C120" s="1118"/>
      <c r="D120" s="1118"/>
      <c r="E120" s="1118"/>
      <c r="F120" s="1118"/>
      <c r="G120" s="1118"/>
      <c r="H120" s="1118"/>
      <c r="I120" s="1118"/>
      <c r="J120" s="1118"/>
      <c r="K120" s="1118"/>
    </row>
    <row r="121" spans="1:11" ht="23.25" customHeight="1" thickBot="1">
      <c r="A121" s="1110" t="s">
        <v>383</v>
      </c>
      <c r="B121" s="1110"/>
      <c r="C121" s="1110"/>
      <c r="D121" s="1110"/>
      <c r="E121" s="1110"/>
      <c r="F121" s="1110"/>
      <c r="G121" s="1110"/>
      <c r="H121" s="1110"/>
      <c r="I121" s="1110"/>
      <c r="J121" s="1110"/>
      <c r="K121" s="1110"/>
    </row>
    <row r="122" spans="1:11" ht="23.25" customHeight="1" thickTop="1">
      <c r="A122" s="1116" t="s">
        <v>178</v>
      </c>
      <c r="B122" s="1116"/>
      <c r="C122" s="515"/>
      <c r="D122" s="1116" t="s">
        <v>147</v>
      </c>
      <c r="E122" s="1111" t="s">
        <v>244</v>
      </c>
      <c r="F122" s="1111"/>
      <c r="G122" s="1111"/>
      <c r="H122" s="517"/>
      <c r="I122" s="1111" t="s">
        <v>92</v>
      </c>
      <c r="J122" s="1111"/>
      <c r="K122" s="1111"/>
    </row>
    <row r="123" spans="1:11" ht="23.25" customHeight="1">
      <c r="A123" s="1190"/>
      <c r="B123" s="1190"/>
      <c r="C123" s="518"/>
      <c r="D123" s="1190"/>
      <c r="E123" s="162" t="s">
        <v>79</v>
      </c>
      <c r="F123" s="162" t="s">
        <v>80</v>
      </c>
      <c r="G123" s="162" t="s">
        <v>93</v>
      </c>
      <c r="H123" s="159"/>
      <c r="I123" s="162" t="s">
        <v>79</v>
      </c>
      <c r="J123" s="162" t="s">
        <v>80</v>
      </c>
      <c r="K123" s="162" t="s">
        <v>93</v>
      </c>
    </row>
    <row r="124" spans="1:11" ht="23.25" customHeight="1">
      <c r="A124" s="1199" t="s">
        <v>99</v>
      </c>
      <c r="B124" s="1199"/>
      <c r="C124" s="115" t="s">
        <v>148</v>
      </c>
      <c r="D124" s="15" t="s">
        <v>100</v>
      </c>
      <c r="E124" s="253">
        <v>2</v>
      </c>
      <c r="F124" s="253">
        <v>140</v>
      </c>
      <c r="G124" s="130">
        <v>14.49</v>
      </c>
      <c r="H124" s="130"/>
      <c r="I124" s="252">
        <v>0.1</v>
      </c>
      <c r="J124" s="253">
        <v>18</v>
      </c>
      <c r="K124" s="130">
        <v>3.39</v>
      </c>
    </row>
    <row r="125" spans="1:11" ht="23.25" customHeight="1">
      <c r="A125" s="1196" t="s">
        <v>149</v>
      </c>
      <c r="B125" s="1196"/>
      <c r="C125" s="116" t="s">
        <v>150</v>
      </c>
      <c r="D125" s="15" t="s">
        <v>100</v>
      </c>
      <c r="E125" s="54">
        <v>413</v>
      </c>
      <c r="F125" s="54">
        <v>548</v>
      </c>
      <c r="G125" s="54">
        <v>482</v>
      </c>
      <c r="H125" s="54"/>
      <c r="I125" s="54">
        <v>412</v>
      </c>
      <c r="J125" s="54">
        <v>544</v>
      </c>
      <c r="K125" s="54">
        <v>481</v>
      </c>
    </row>
    <row r="126" spans="1:11" ht="23.25" customHeight="1">
      <c r="A126" s="1196" t="s">
        <v>102</v>
      </c>
      <c r="B126" s="1196"/>
      <c r="C126" s="116" t="s">
        <v>151</v>
      </c>
      <c r="D126" s="15" t="s">
        <v>100</v>
      </c>
      <c r="E126" s="54">
        <v>90</v>
      </c>
      <c r="F126" s="54">
        <v>128</v>
      </c>
      <c r="G126" s="54">
        <v>112</v>
      </c>
      <c r="H126" s="54"/>
      <c r="I126" s="54">
        <v>88</v>
      </c>
      <c r="J126" s="54">
        <v>126</v>
      </c>
      <c r="K126" s="54">
        <v>107</v>
      </c>
    </row>
    <row r="127" spans="1:11" ht="23.25" customHeight="1">
      <c r="A127" s="1195" t="s">
        <v>152</v>
      </c>
      <c r="B127" s="1195"/>
      <c r="C127" s="116" t="s">
        <v>153</v>
      </c>
      <c r="D127" s="15" t="s">
        <v>100</v>
      </c>
      <c r="E127" s="116">
        <v>828</v>
      </c>
      <c r="F127" s="273">
        <v>998</v>
      </c>
      <c r="G127" s="273">
        <v>922</v>
      </c>
      <c r="H127" s="273"/>
      <c r="I127" s="273">
        <v>834</v>
      </c>
      <c r="J127" s="273">
        <v>996</v>
      </c>
      <c r="K127" s="273">
        <v>922</v>
      </c>
    </row>
    <row r="128" spans="1:11" ht="23.25" customHeight="1">
      <c r="A128" s="1196" t="s">
        <v>154</v>
      </c>
      <c r="B128" s="1196"/>
      <c r="C128" s="116" t="s">
        <v>101</v>
      </c>
      <c r="D128" s="1284" t="s">
        <v>653</v>
      </c>
      <c r="E128" s="54">
        <v>7.43</v>
      </c>
      <c r="F128" s="200">
        <v>8.5</v>
      </c>
      <c r="G128" s="131">
        <v>8.09</v>
      </c>
      <c r="H128" s="131"/>
      <c r="I128" s="131">
        <v>7.31</v>
      </c>
      <c r="J128" s="200">
        <v>8.5</v>
      </c>
      <c r="K128" s="200">
        <v>7.8</v>
      </c>
    </row>
    <row r="129" spans="1:11" ht="23.25" customHeight="1">
      <c r="A129" s="1196" t="s">
        <v>155</v>
      </c>
      <c r="B129" s="1196"/>
      <c r="C129" s="116" t="s">
        <v>156</v>
      </c>
      <c r="D129" s="15" t="s">
        <v>100</v>
      </c>
      <c r="E129" s="54">
        <v>108</v>
      </c>
      <c r="F129" s="54">
        <v>170</v>
      </c>
      <c r="G129" s="54">
        <v>144</v>
      </c>
      <c r="H129" s="54"/>
      <c r="I129" s="54">
        <v>110</v>
      </c>
      <c r="J129" s="54">
        <v>174</v>
      </c>
      <c r="K129" s="54">
        <v>147</v>
      </c>
    </row>
    <row r="130" spans="1:11" ht="23.25" customHeight="1">
      <c r="A130" s="1196" t="s">
        <v>157</v>
      </c>
      <c r="B130" s="1196"/>
      <c r="C130" s="116" t="s">
        <v>158</v>
      </c>
      <c r="D130" s="15" t="s">
        <v>100</v>
      </c>
      <c r="E130" s="54">
        <v>87</v>
      </c>
      <c r="F130" s="54">
        <v>151</v>
      </c>
      <c r="G130" s="54">
        <v>122</v>
      </c>
      <c r="H130" s="54"/>
      <c r="I130" s="54">
        <v>83</v>
      </c>
      <c r="J130" s="54">
        <v>151</v>
      </c>
      <c r="K130" s="54">
        <v>122</v>
      </c>
    </row>
    <row r="131" spans="1:11" ht="23.25" customHeight="1">
      <c r="A131" s="1196" t="s">
        <v>159</v>
      </c>
      <c r="B131" s="1196"/>
      <c r="C131" s="116" t="s">
        <v>160</v>
      </c>
      <c r="D131" s="15" t="s">
        <v>100</v>
      </c>
      <c r="E131" s="54">
        <v>30</v>
      </c>
      <c r="F131" s="54">
        <v>57</v>
      </c>
      <c r="G131" s="54">
        <v>43</v>
      </c>
      <c r="H131" s="54"/>
      <c r="I131" s="54">
        <v>30</v>
      </c>
      <c r="J131" s="54">
        <v>59</v>
      </c>
      <c r="K131" s="54">
        <v>43</v>
      </c>
    </row>
    <row r="132" spans="1:11" ht="23.25" customHeight="1">
      <c r="A132" s="1196" t="s">
        <v>161</v>
      </c>
      <c r="B132" s="1196"/>
      <c r="C132" s="117" t="s">
        <v>162</v>
      </c>
      <c r="D132" s="118" t="s">
        <v>113</v>
      </c>
      <c r="E132" s="272">
        <v>1235</v>
      </c>
      <c r="F132" s="272">
        <v>1584</v>
      </c>
      <c r="G132" s="272">
        <v>1411</v>
      </c>
      <c r="H132" s="272"/>
      <c r="I132" s="272">
        <v>1244</v>
      </c>
      <c r="J132" s="272">
        <v>1581</v>
      </c>
      <c r="K132" s="272">
        <v>1415</v>
      </c>
    </row>
    <row r="133" spans="1:11" ht="23.25" customHeight="1">
      <c r="A133" s="1197" t="s">
        <v>163</v>
      </c>
      <c r="B133" s="1197"/>
      <c r="C133" s="116" t="s">
        <v>164</v>
      </c>
      <c r="D133" s="15" t="s">
        <v>100</v>
      </c>
      <c r="E133" s="54">
        <v>78</v>
      </c>
      <c r="F133" s="54">
        <v>122</v>
      </c>
      <c r="G133" s="54">
        <v>104</v>
      </c>
      <c r="H133" s="54"/>
      <c r="I133" s="54">
        <v>77</v>
      </c>
      <c r="J133" s="54">
        <v>117</v>
      </c>
      <c r="K133" s="54">
        <v>104</v>
      </c>
    </row>
    <row r="134" spans="1:11" ht="23.25" customHeight="1">
      <c r="A134" s="1197" t="s">
        <v>165</v>
      </c>
      <c r="B134" s="1197"/>
      <c r="C134" s="116" t="s">
        <v>166</v>
      </c>
      <c r="D134" s="15" t="s">
        <v>100</v>
      </c>
      <c r="E134" s="54">
        <v>3.1</v>
      </c>
      <c r="F134" s="54">
        <v>5.7</v>
      </c>
      <c r="G134" s="54">
        <v>4.4000000000000004</v>
      </c>
      <c r="H134" s="54"/>
      <c r="I134" s="54">
        <v>3.1</v>
      </c>
      <c r="J134" s="54">
        <v>5.6</v>
      </c>
      <c r="K134" s="54">
        <v>4.4000000000000004</v>
      </c>
    </row>
    <row r="135" spans="1:11" ht="23.25" customHeight="1" thickBot="1">
      <c r="A135" s="1198" t="s">
        <v>167</v>
      </c>
      <c r="B135" s="1198"/>
      <c r="C135" s="119" t="s">
        <v>168</v>
      </c>
      <c r="D135" s="120" t="s">
        <v>100</v>
      </c>
      <c r="E135" s="55">
        <v>317</v>
      </c>
      <c r="F135" s="55">
        <v>455</v>
      </c>
      <c r="G135" s="55">
        <v>391</v>
      </c>
      <c r="H135" s="55"/>
      <c r="I135" s="55">
        <v>320</v>
      </c>
      <c r="J135" s="55">
        <v>457</v>
      </c>
      <c r="K135" s="55">
        <v>395</v>
      </c>
    </row>
    <row r="136" spans="1:11" ht="29.25" customHeight="1" thickTop="1">
      <c r="A136" s="103"/>
      <c r="B136" s="103"/>
      <c r="C136" s="103"/>
      <c r="D136" s="103"/>
      <c r="E136" s="102"/>
      <c r="F136" s="102"/>
      <c r="G136" s="102"/>
      <c r="H136" s="102"/>
      <c r="I136" s="102"/>
      <c r="J136" s="102"/>
      <c r="K136" s="104"/>
    </row>
    <row r="137" spans="1:11" ht="23.25" customHeight="1">
      <c r="A137" s="1118" t="s">
        <v>530</v>
      </c>
      <c r="B137" s="1118"/>
      <c r="C137" s="1118"/>
      <c r="D137" s="1118"/>
      <c r="E137" s="1118"/>
      <c r="F137" s="1118"/>
      <c r="G137" s="1118"/>
      <c r="H137" s="1118"/>
      <c r="I137" s="1118"/>
      <c r="J137" s="1118"/>
      <c r="K137" s="1118"/>
    </row>
    <row r="138" spans="1:11" ht="17.25" customHeight="1">
      <c r="A138" s="1118" t="s">
        <v>63</v>
      </c>
      <c r="B138" s="1118"/>
      <c r="C138" s="1118"/>
      <c r="D138" s="1118"/>
      <c r="E138" s="1118"/>
      <c r="F138" s="1118"/>
      <c r="G138" s="1118"/>
      <c r="H138" s="1118"/>
      <c r="I138" s="1118"/>
      <c r="J138" s="1118"/>
      <c r="K138" s="1118"/>
    </row>
    <row r="139" spans="1:11" ht="23.25" customHeight="1" thickBot="1">
      <c r="A139" s="1110" t="s">
        <v>383</v>
      </c>
      <c r="B139" s="1110"/>
      <c r="C139" s="1110"/>
      <c r="D139" s="1110"/>
      <c r="E139" s="1110"/>
      <c r="F139" s="1110"/>
      <c r="G139" s="1110"/>
      <c r="H139" s="1110"/>
      <c r="I139" s="1110"/>
      <c r="J139" s="1110"/>
      <c r="K139" s="1110"/>
    </row>
    <row r="140" spans="1:11" ht="23.25" customHeight="1" thickTop="1">
      <c r="A140" s="1116" t="s">
        <v>178</v>
      </c>
      <c r="B140" s="1116"/>
      <c r="C140" s="515"/>
      <c r="D140" s="1116" t="s">
        <v>147</v>
      </c>
      <c r="E140" s="1111" t="s">
        <v>244</v>
      </c>
      <c r="F140" s="1111"/>
      <c r="G140" s="1111"/>
      <c r="H140" s="517"/>
      <c r="I140" s="1111" t="s">
        <v>92</v>
      </c>
      <c r="J140" s="1111"/>
      <c r="K140" s="1111"/>
    </row>
    <row r="141" spans="1:11" ht="23.25" customHeight="1">
      <c r="A141" s="1190"/>
      <c r="B141" s="1190"/>
      <c r="C141" s="518"/>
      <c r="D141" s="1190"/>
      <c r="E141" s="162" t="s">
        <v>79</v>
      </c>
      <c r="F141" s="162" t="s">
        <v>80</v>
      </c>
      <c r="G141" s="162" t="s">
        <v>93</v>
      </c>
      <c r="H141" s="159"/>
      <c r="I141" s="162" t="s">
        <v>79</v>
      </c>
      <c r="J141" s="162" t="s">
        <v>80</v>
      </c>
      <c r="K141" s="162" t="s">
        <v>93</v>
      </c>
    </row>
    <row r="142" spans="1:11" ht="23.25" customHeight="1">
      <c r="A142" s="1199" t="s">
        <v>99</v>
      </c>
      <c r="B142" s="1199"/>
      <c r="C142" s="115" t="s">
        <v>148</v>
      </c>
      <c r="D142" s="15" t="s">
        <v>100</v>
      </c>
      <c r="E142" s="174">
        <v>1</v>
      </c>
      <c r="F142" s="174">
        <v>632</v>
      </c>
      <c r="G142" s="175">
        <v>36.92</v>
      </c>
      <c r="H142" s="175"/>
      <c r="I142" s="175">
        <v>2.95</v>
      </c>
      <c r="J142" s="174">
        <v>178</v>
      </c>
      <c r="K142" s="176">
        <v>39.700000000000003</v>
      </c>
    </row>
    <row r="143" spans="1:11" ht="23.25" customHeight="1">
      <c r="A143" s="1196" t="s">
        <v>149</v>
      </c>
      <c r="B143" s="1196"/>
      <c r="C143" s="116" t="s">
        <v>150</v>
      </c>
      <c r="D143" s="15" t="s">
        <v>100</v>
      </c>
      <c r="E143" s="177">
        <v>283</v>
      </c>
      <c r="F143" s="178">
        <v>3195.7</v>
      </c>
      <c r="G143" s="177">
        <v>401</v>
      </c>
      <c r="H143" s="178"/>
      <c r="I143" s="177">
        <v>328</v>
      </c>
      <c r="J143" s="177">
        <v>2110</v>
      </c>
      <c r="K143" s="177">
        <v>472</v>
      </c>
    </row>
    <row r="144" spans="1:11" ht="23.25" customHeight="1">
      <c r="A144" s="1196" t="s">
        <v>102</v>
      </c>
      <c r="B144" s="1196"/>
      <c r="C144" s="116" t="s">
        <v>151</v>
      </c>
      <c r="D144" s="15" t="s">
        <v>100</v>
      </c>
      <c r="E144" s="177">
        <v>102</v>
      </c>
      <c r="F144" s="177">
        <v>220</v>
      </c>
      <c r="G144" s="177">
        <v>154</v>
      </c>
      <c r="H144" s="178"/>
      <c r="I144" s="177">
        <v>120</v>
      </c>
      <c r="J144" s="177">
        <v>167</v>
      </c>
      <c r="K144" s="177">
        <v>146</v>
      </c>
    </row>
    <row r="145" spans="1:11" ht="23.25" customHeight="1">
      <c r="A145" s="1195" t="s">
        <v>152</v>
      </c>
      <c r="B145" s="1195"/>
      <c r="C145" s="116" t="s">
        <v>153</v>
      </c>
      <c r="D145" s="15" t="s">
        <v>100</v>
      </c>
      <c r="E145" s="177">
        <v>498</v>
      </c>
      <c r="F145" s="177">
        <v>5130</v>
      </c>
      <c r="G145" s="177">
        <v>712</v>
      </c>
      <c r="H145" s="178"/>
      <c r="I145" s="177">
        <v>580</v>
      </c>
      <c r="J145" s="177">
        <v>4060</v>
      </c>
      <c r="K145" s="177">
        <v>862</v>
      </c>
    </row>
    <row r="146" spans="1:11" ht="23.25" customHeight="1">
      <c r="A146" s="1196" t="s">
        <v>154</v>
      </c>
      <c r="B146" s="1196"/>
      <c r="C146" s="116" t="s">
        <v>101</v>
      </c>
      <c r="D146" s="1284" t="s">
        <v>653</v>
      </c>
      <c r="E146" s="179">
        <v>6.42</v>
      </c>
      <c r="F146" s="178">
        <v>8.8000000000000007</v>
      </c>
      <c r="G146" s="179">
        <v>7.45</v>
      </c>
      <c r="H146" s="179"/>
      <c r="I146" s="179">
        <v>6.78</v>
      </c>
      <c r="J146" s="179">
        <v>8.0500000000000007</v>
      </c>
      <c r="K146" s="178">
        <v>7.6</v>
      </c>
    </row>
    <row r="147" spans="1:11" ht="23.25" customHeight="1">
      <c r="A147" s="1196" t="s">
        <v>155</v>
      </c>
      <c r="B147" s="1196"/>
      <c r="C147" s="116" t="s">
        <v>156</v>
      </c>
      <c r="D147" s="15" t="s">
        <v>100</v>
      </c>
      <c r="E147" s="177">
        <v>74</v>
      </c>
      <c r="F147" s="177">
        <v>1297</v>
      </c>
      <c r="G147" s="177">
        <v>115</v>
      </c>
      <c r="H147" s="178"/>
      <c r="I147" s="177">
        <v>74</v>
      </c>
      <c r="J147" s="177">
        <v>600</v>
      </c>
      <c r="K147" s="177">
        <v>123</v>
      </c>
    </row>
    <row r="148" spans="1:11" ht="23.25" customHeight="1">
      <c r="A148" s="1196" t="s">
        <v>157</v>
      </c>
      <c r="B148" s="1196"/>
      <c r="C148" s="116" t="s">
        <v>158</v>
      </c>
      <c r="D148" s="15" t="s">
        <v>100</v>
      </c>
      <c r="E148" s="177">
        <v>61</v>
      </c>
      <c r="F148" s="177">
        <v>600</v>
      </c>
      <c r="G148" s="177">
        <v>102</v>
      </c>
      <c r="H148" s="181"/>
      <c r="I148" s="177">
        <v>70</v>
      </c>
      <c r="J148" s="177">
        <v>616</v>
      </c>
      <c r="K148" s="177">
        <v>101</v>
      </c>
    </row>
    <row r="149" spans="1:11" ht="23.25" customHeight="1">
      <c r="A149" s="1196" t="s">
        <v>159</v>
      </c>
      <c r="B149" s="1196"/>
      <c r="C149" s="116" t="s">
        <v>160</v>
      </c>
      <c r="D149" s="15" t="s">
        <v>100</v>
      </c>
      <c r="E149" s="177">
        <v>20</v>
      </c>
      <c r="F149" s="177">
        <v>92</v>
      </c>
      <c r="G149" s="177">
        <v>35</v>
      </c>
      <c r="H149" s="178"/>
      <c r="I149" s="177">
        <v>19</v>
      </c>
      <c r="J149" s="177">
        <v>87</v>
      </c>
      <c r="K149" s="177">
        <v>35</v>
      </c>
    </row>
    <row r="150" spans="1:11" ht="23.25" customHeight="1">
      <c r="A150" s="1196" t="s">
        <v>161</v>
      </c>
      <c r="B150" s="1196"/>
      <c r="C150" s="117" t="s">
        <v>162</v>
      </c>
      <c r="D150" s="118" t="s">
        <v>113</v>
      </c>
      <c r="E150" s="177">
        <v>807</v>
      </c>
      <c r="F150" s="177">
        <v>7380</v>
      </c>
      <c r="G150" s="177">
        <v>1125</v>
      </c>
      <c r="H150" s="182"/>
      <c r="I150" s="177">
        <v>814</v>
      </c>
      <c r="J150" s="177">
        <v>7420</v>
      </c>
      <c r="K150" s="177">
        <v>1119</v>
      </c>
    </row>
    <row r="151" spans="1:11" ht="23.25" customHeight="1">
      <c r="A151" s="1197" t="s">
        <v>163</v>
      </c>
      <c r="B151" s="1197"/>
      <c r="C151" s="116" t="s">
        <v>164</v>
      </c>
      <c r="D151" s="15" t="s">
        <v>100</v>
      </c>
      <c r="E151" s="177">
        <v>63</v>
      </c>
      <c r="F151" s="177">
        <v>572</v>
      </c>
      <c r="G151" s="177">
        <v>95</v>
      </c>
      <c r="H151" s="182"/>
      <c r="I151" s="177">
        <v>63</v>
      </c>
      <c r="J151" s="177">
        <v>585</v>
      </c>
      <c r="K151" s="177">
        <v>95</v>
      </c>
    </row>
    <row r="152" spans="1:11" ht="23.25" customHeight="1">
      <c r="A152" s="1197" t="s">
        <v>165</v>
      </c>
      <c r="B152" s="1197"/>
      <c r="C152" s="116" t="s">
        <v>166</v>
      </c>
      <c r="D152" s="15" t="s">
        <v>100</v>
      </c>
      <c r="E152" s="178">
        <v>1.9</v>
      </c>
      <c r="F152" s="178">
        <v>6.3</v>
      </c>
      <c r="G152" s="178">
        <v>3.1</v>
      </c>
      <c r="H152" s="182"/>
      <c r="I152" s="178">
        <v>1.6</v>
      </c>
      <c r="J152" s="178">
        <v>6.3</v>
      </c>
      <c r="K152" s="178">
        <v>3.2</v>
      </c>
    </row>
    <row r="153" spans="1:11" ht="23.25" customHeight="1" thickBot="1">
      <c r="A153" s="1198" t="s">
        <v>167</v>
      </c>
      <c r="B153" s="1198"/>
      <c r="C153" s="119" t="s">
        <v>168</v>
      </c>
      <c r="D153" s="120" t="s">
        <v>100</v>
      </c>
      <c r="E153" s="184">
        <v>184</v>
      </c>
      <c r="F153" s="184">
        <v>1480</v>
      </c>
      <c r="G153" s="184">
        <v>290</v>
      </c>
      <c r="H153" s="185"/>
      <c r="I153" s="177">
        <v>200</v>
      </c>
      <c r="J153" s="184">
        <v>1450</v>
      </c>
      <c r="K153" s="184">
        <v>286</v>
      </c>
    </row>
    <row r="154" spans="1:11" ht="23.25" customHeight="1" thickTop="1">
      <c r="A154" s="1201" t="s">
        <v>445</v>
      </c>
      <c r="B154" s="1201"/>
      <c r="C154" s="1201"/>
      <c r="D154" s="1201"/>
      <c r="E154" s="1201"/>
      <c r="F154" s="1201"/>
      <c r="G154" s="970"/>
      <c r="H154" s="490"/>
      <c r="I154" s="490"/>
      <c r="J154" s="86"/>
      <c r="K154" s="136" t="s">
        <v>74</v>
      </c>
    </row>
    <row r="155" spans="1:11" ht="23.25" customHeight="1">
      <c r="G155" s="519"/>
      <c r="H155" s="519"/>
      <c r="I155" s="519"/>
      <c r="J155" s="519"/>
    </row>
    <row r="156" spans="1:11" ht="16.5" customHeight="1">
      <c r="A156" s="532"/>
      <c r="B156" s="532"/>
      <c r="C156" s="532"/>
      <c r="D156" s="532"/>
      <c r="E156" s="532"/>
      <c r="F156" s="532"/>
      <c r="G156" s="599"/>
      <c r="H156" s="599"/>
      <c r="I156" s="599"/>
      <c r="J156" s="599"/>
    </row>
    <row r="157" spans="1:11" ht="23.25" customHeight="1">
      <c r="A157" s="532"/>
      <c r="B157" s="532"/>
      <c r="C157" s="532"/>
      <c r="D157" s="532"/>
      <c r="E157" s="532"/>
      <c r="F157" s="532"/>
      <c r="G157" s="540"/>
      <c r="H157" s="540"/>
      <c r="I157" s="540"/>
      <c r="J157" s="540"/>
    </row>
    <row r="158" spans="1:11" ht="23.25" customHeight="1">
      <c r="A158" s="514" t="s">
        <v>204</v>
      </c>
      <c r="B158" s="514"/>
      <c r="C158" s="514"/>
      <c r="D158" s="514"/>
      <c r="E158" s="514"/>
      <c r="F158" s="514"/>
      <c r="G158" s="138"/>
      <c r="H158" s="138"/>
      <c r="I158" s="138"/>
      <c r="J158" s="138"/>
      <c r="K158" s="429">
        <v>51</v>
      </c>
    </row>
    <row r="159" spans="1:11" ht="30.75" customHeight="1">
      <c r="A159" s="1118" t="s">
        <v>530</v>
      </c>
      <c r="B159" s="1118"/>
      <c r="C159" s="1118"/>
      <c r="D159" s="1118"/>
      <c r="E159" s="1118"/>
      <c r="F159" s="1118"/>
      <c r="G159" s="1118"/>
      <c r="H159" s="1118"/>
      <c r="I159" s="1118"/>
      <c r="J159" s="1118"/>
      <c r="K159" s="1118"/>
    </row>
    <row r="160" spans="1:11" ht="18.75" customHeight="1">
      <c r="A160" s="1118" t="s">
        <v>61</v>
      </c>
      <c r="B160" s="1118"/>
      <c r="C160" s="1118"/>
      <c r="D160" s="1118"/>
      <c r="E160" s="1118"/>
      <c r="F160" s="1118"/>
      <c r="G160" s="1118"/>
      <c r="H160" s="1118"/>
      <c r="I160" s="1118"/>
      <c r="J160" s="1118"/>
      <c r="K160" s="1118"/>
    </row>
    <row r="161" spans="1:11" ht="23.25" customHeight="1" thickBot="1">
      <c r="A161" s="1110" t="s">
        <v>383</v>
      </c>
      <c r="B161" s="1110"/>
      <c r="C161" s="1110"/>
      <c r="D161" s="1110"/>
      <c r="E161" s="1110"/>
      <c r="F161" s="1110"/>
      <c r="G161" s="1110"/>
      <c r="H161" s="1110"/>
      <c r="I161" s="1110"/>
      <c r="J161" s="1110"/>
      <c r="K161" s="1110"/>
    </row>
    <row r="162" spans="1:11" ht="23.25" customHeight="1" thickTop="1">
      <c r="A162" s="1116" t="s">
        <v>178</v>
      </c>
      <c r="B162" s="1116"/>
      <c r="C162" s="515"/>
      <c r="D162" s="1116" t="s">
        <v>147</v>
      </c>
      <c r="E162" s="1111" t="s">
        <v>244</v>
      </c>
      <c r="F162" s="1111"/>
      <c r="G162" s="1111"/>
      <c r="H162" s="517"/>
      <c r="I162" s="1111" t="s">
        <v>92</v>
      </c>
      <c r="J162" s="1111"/>
      <c r="K162" s="1111"/>
    </row>
    <row r="163" spans="1:11" ht="23.25" customHeight="1">
      <c r="A163" s="1190"/>
      <c r="B163" s="1190"/>
      <c r="C163" s="518"/>
      <c r="D163" s="1190"/>
      <c r="E163" s="162" t="s">
        <v>79</v>
      </c>
      <c r="F163" s="162" t="s">
        <v>80</v>
      </c>
      <c r="G163" s="162" t="s">
        <v>93</v>
      </c>
      <c r="H163" s="159"/>
      <c r="I163" s="162" t="s">
        <v>79</v>
      </c>
      <c r="J163" s="162" t="s">
        <v>80</v>
      </c>
      <c r="K163" s="162" t="s">
        <v>93</v>
      </c>
    </row>
    <row r="164" spans="1:11" ht="23.25" customHeight="1">
      <c r="A164" s="1199" t="s">
        <v>99</v>
      </c>
      <c r="B164" s="1199"/>
      <c r="C164" s="115" t="s">
        <v>148</v>
      </c>
      <c r="D164" s="15" t="s">
        <v>100</v>
      </c>
      <c r="E164" s="54">
        <v>9.6999999999999993</v>
      </c>
      <c r="F164" s="379">
        <v>217</v>
      </c>
      <c r="G164" s="54">
        <v>52.86</v>
      </c>
      <c r="H164" s="54"/>
      <c r="I164" s="54">
        <v>1.2</v>
      </c>
      <c r="J164" s="54">
        <v>42</v>
      </c>
      <c r="K164" s="54">
        <v>3.9</v>
      </c>
    </row>
    <row r="165" spans="1:11" ht="23.25" customHeight="1">
      <c r="A165" s="1196" t="s">
        <v>149</v>
      </c>
      <c r="B165" s="1196"/>
      <c r="C165" s="116" t="s">
        <v>150</v>
      </c>
      <c r="D165" s="15" t="s">
        <v>100</v>
      </c>
      <c r="E165" s="54">
        <v>168</v>
      </c>
      <c r="F165" s="54">
        <v>266</v>
      </c>
      <c r="G165" s="54">
        <v>216</v>
      </c>
      <c r="H165" s="54"/>
      <c r="I165" s="54">
        <v>178</v>
      </c>
      <c r="J165" s="54">
        <v>269</v>
      </c>
      <c r="K165" s="54">
        <v>225</v>
      </c>
    </row>
    <row r="166" spans="1:11" ht="23.25" customHeight="1">
      <c r="A166" s="1196" t="s">
        <v>102</v>
      </c>
      <c r="B166" s="1196"/>
      <c r="C166" s="116" t="s">
        <v>151</v>
      </c>
      <c r="D166" s="15" t="s">
        <v>100</v>
      </c>
      <c r="E166" s="54">
        <v>125</v>
      </c>
      <c r="F166" s="54">
        <v>169</v>
      </c>
      <c r="G166" s="54">
        <v>144</v>
      </c>
      <c r="H166" s="54"/>
      <c r="I166" s="54">
        <v>126</v>
      </c>
      <c r="J166" s="54">
        <v>173</v>
      </c>
      <c r="K166" s="54">
        <v>148</v>
      </c>
    </row>
    <row r="167" spans="1:11" ht="23.25" customHeight="1">
      <c r="A167" s="1195" t="s">
        <v>152</v>
      </c>
      <c r="B167" s="1195"/>
      <c r="C167" s="116" t="s">
        <v>153</v>
      </c>
      <c r="D167" s="15" t="s">
        <v>100</v>
      </c>
      <c r="E167" s="54">
        <v>208</v>
      </c>
      <c r="F167" s="54">
        <v>370</v>
      </c>
      <c r="G167" s="54">
        <v>282</v>
      </c>
      <c r="H167" s="54"/>
      <c r="I167" s="54">
        <v>218</v>
      </c>
      <c r="J167" s="54">
        <v>372</v>
      </c>
      <c r="K167" s="54">
        <v>290</v>
      </c>
    </row>
    <row r="168" spans="1:11" ht="23.25" customHeight="1">
      <c r="A168" s="1196" t="s">
        <v>154</v>
      </c>
      <c r="B168" s="1196"/>
      <c r="C168" s="116" t="s">
        <v>101</v>
      </c>
      <c r="D168" s="1284" t="s">
        <v>653</v>
      </c>
      <c r="E168" s="54">
        <v>6.74</v>
      </c>
      <c r="F168" s="54">
        <v>8.2200000000000006</v>
      </c>
      <c r="G168" s="54">
        <v>7.76</v>
      </c>
      <c r="H168" s="54"/>
      <c r="I168" s="54">
        <v>6.89</v>
      </c>
      <c r="J168" s="54">
        <v>8.32</v>
      </c>
      <c r="K168" s="54">
        <v>7.9</v>
      </c>
    </row>
    <row r="169" spans="1:11" ht="23.25" customHeight="1">
      <c r="A169" s="1196" t="s">
        <v>155</v>
      </c>
      <c r="B169" s="1196"/>
      <c r="C169" s="116" t="s">
        <v>156</v>
      </c>
      <c r="D169" s="15" t="s">
        <v>100</v>
      </c>
      <c r="E169" s="54">
        <v>12</v>
      </c>
      <c r="F169" s="54">
        <v>30</v>
      </c>
      <c r="G169" s="54">
        <v>21</v>
      </c>
      <c r="H169" s="54"/>
      <c r="I169" s="54">
        <v>14</v>
      </c>
      <c r="J169" s="54">
        <v>32</v>
      </c>
      <c r="K169" s="54">
        <v>22</v>
      </c>
    </row>
    <row r="170" spans="1:11" ht="23.25" customHeight="1">
      <c r="A170" s="1196" t="s">
        <v>157</v>
      </c>
      <c r="B170" s="1196"/>
      <c r="C170" s="116" t="s">
        <v>158</v>
      </c>
      <c r="D170" s="15" t="s">
        <v>100</v>
      </c>
      <c r="E170" s="54">
        <v>17</v>
      </c>
      <c r="F170" s="379">
        <v>88</v>
      </c>
      <c r="G170" s="54">
        <v>59</v>
      </c>
      <c r="H170" s="54"/>
      <c r="I170" s="54">
        <v>19</v>
      </c>
      <c r="J170" s="54">
        <v>88</v>
      </c>
      <c r="K170" s="54">
        <v>60</v>
      </c>
    </row>
    <row r="171" spans="1:11" ht="23.25" customHeight="1">
      <c r="A171" s="1196" t="s">
        <v>159</v>
      </c>
      <c r="B171" s="1196"/>
      <c r="C171" s="116" t="s">
        <v>160</v>
      </c>
      <c r="D171" s="15" t="s">
        <v>100</v>
      </c>
      <c r="E171" s="54">
        <v>8</v>
      </c>
      <c r="F171" s="54">
        <v>25</v>
      </c>
      <c r="G171" s="54">
        <v>17</v>
      </c>
      <c r="H171" s="54"/>
      <c r="I171" s="54">
        <v>10</v>
      </c>
      <c r="J171" s="54">
        <v>26</v>
      </c>
      <c r="K171" s="54">
        <v>18</v>
      </c>
    </row>
    <row r="172" spans="1:11" ht="23.25" customHeight="1">
      <c r="A172" s="1196" t="s">
        <v>161</v>
      </c>
      <c r="B172" s="1196"/>
      <c r="C172" s="117" t="s">
        <v>162</v>
      </c>
      <c r="D172" s="118" t="s">
        <v>113</v>
      </c>
      <c r="E172" s="54">
        <v>330</v>
      </c>
      <c r="F172" s="54">
        <v>599</v>
      </c>
      <c r="G172" s="54">
        <v>454</v>
      </c>
      <c r="H172" s="54"/>
      <c r="I172" s="54">
        <v>347</v>
      </c>
      <c r="J172" s="54">
        <v>603</v>
      </c>
      <c r="K172" s="54">
        <v>467.99700000000001</v>
      </c>
    </row>
    <row r="173" spans="1:11" ht="23.25" customHeight="1">
      <c r="A173" s="1197" t="s">
        <v>163</v>
      </c>
      <c r="B173" s="1197"/>
      <c r="C173" s="116" t="s">
        <v>164</v>
      </c>
      <c r="D173" s="15" t="s">
        <v>100</v>
      </c>
      <c r="E173" s="54">
        <v>8</v>
      </c>
      <c r="F173" s="54">
        <v>20</v>
      </c>
      <c r="G173" s="54">
        <v>13</v>
      </c>
      <c r="H173" s="54"/>
      <c r="I173" s="54">
        <v>9</v>
      </c>
      <c r="J173" s="86">
        <v>22</v>
      </c>
      <c r="K173" s="54">
        <v>14</v>
      </c>
    </row>
    <row r="174" spans="1:11" ht="23.25" customHeight="1">
      <c r="A174" s="1197" t="s">
        <v>165</v>
      </c>
      <c r="B174" s="1197"/>
      <c r="C174" s="116" t="s">
        <v>166</v>
      </c>
      <c r="D174" s="15" t="s">
        <v>100</v>
      </c>
      <c r="E174" s="54">
        <v>1.2</v>
      </c>
      <c r="F174" s="54">
        <v>2.2000000000000002</v>
      </c>
      <c r="G174" s="54">
        <v>1.7</v>
      </c>
      <c r="H174" s="54"/>
      <c r="I174" s="54">
        <v>1.2</v>
      </c>
      <c r="J174" s="54">
        <v>2.2999999999999998</v>
      </c>
      <c r="K174" s="54">
        <v>1.8</v>
      </c>
    </row>
    <row r="175" spans="1:11" ht="23.25" customHeight="1" thickBot="1">
      <c r="A175" s="1198" t="s">
        <v>167</v>
      </c>
      <c r="B175" s="1198"/>
      <c r="C175" s="119" t="s">
        <v>168</v>
      </c>
      <c r="D175" s="120" t="s">
        <v>100</v>
      </c>
      <c r="E175" s="55">
        <v>40</v>
      </c>
      <c r="F175" s="55">
        <v>108</v>
      </c>
      <c r="G175" s="55">
        <v>69</v>
      </c>
      <c r="H175" s="55"/>
      <c r="I175" s="55">
        <v>48</v>
      </c>
      <c r="J175" s="55">
        <v>114</v>
      </c>
      <c r="K175" s="55">
        <v>75</v>
      </c>
    </row>
    <row r="176" spans="1:11" ht="23.25" customHeight="1" thickTop="1">
      <c r="A176" s="479"/>
      <c r="B176" s="479"/>
      <c r="C176" s="479"/>
      <c r="D176" s="479"/>
      <c r="E176" s="480"/>
      <c r="F176" s="480"/>
      <c r="G176" s="102"/>
      <c r="H176" s="102"/>
      <c r="I176" s="102"/>
      <c r="J176" s="102"/>
      <c r="K176" s="104"/>
    </row>
    <row r="177" spans="1:11" ht="23.25" customHeight="1">
      <c r="A177" s="1118" t="s">
        <v>530</v>
      </c>
      <c r="B177" s="1118"/>
      <c r="C177" s="1118"/>
      <c r="D177" s="1118"/>
      <c r="E177" s="1118"/>
      <c r="F177" s="1118"/>
      <c r="G177" s="1118"/>
      <c r="H177" s="1118"/>
      <c r="I177" s="1118"/>
      <c r="J177" s="1118"/>
      <c r="K177" s="1118"/>
    </row>
    <row r="178" spans="1:11" ht="23.25" customHeight="1">
      <c r="A178" s="1118" t="s">
        <v>65</v>
      </c>
      <c r="B178" s="1118"/>
      <c r="C178" s="1118"/>
      <c r="D178" s="1118"/>
      <c r="E178" s="1118"/>
      <c r="F178" s="1118"/>
      <c r="G178" s="1118"/>
      <c r="H178" s="1118"/>
      <c r="I178" s="1118"/>
      <c r="J178" s="1118"/>
      <c r="K178" s="1118"/>
    </row>
    <row r="179" spans="1:11" ht="23.25" customHeight="1" thickBot="1">
      <c r="A179" s="1110" t="s">
        <v>383</v>
      </c>
      <c r="B179" s="1110"/>
      <c r="C179" s="1110"/>
      <c r="D179" s="1110"/>
      <c r="E179" s="1110"/>
      <c r="F179" s="1110"/>
      <c r="G179" s="1110"/>
      <c r="H179" s="1110"/>
      <c r="I179" s="1110"/>
      <c r="J179" s="1110"/>
      <c r="K179" s="1110"/>
    </row>
    <row r="180" spans="1:11" ht="23.25" customHeight="1" thickTop="1">
      <c r="A180" s="1116" t="s">
        <v>178</v>
      </c>
      <c r="B180" s="1116"/>
      <c r="C180" s="515"/>
      <c r="D180" s="1116" t="s">
        <v>147</v>
      </c>
      <c r="E180" s="1111" t="s">
        <v>244</v>
      </c>
      <c r="F180" s="1111"/>
      <c r="G180" s="1111"/>
      <c r="H180" s="517"/>
      <c r="I180" s="1111" t="s">
        <v>92</v>
      </c>
      <c r="J180" s="1111"/>
      <c r="K180" s="1111"/>
    </row>
    <row r="181" spans="1:11" ht="23.25" customHeight="1">
      <c r="A181" s="1190"/>
      <c r="B181" s="1190"/>
      <c r="C181" s="518"/>
      <c r="D181" s="1190"/>
      <c r="E181" s="162" t="s">
        <v>79</v>
      </c>
      <c r="F181" s="162" t="s">
        <v>80</v>
      </c>
      <c r="G181" s="162" t="s">
        <v>93</v>
      </c>
      <c r="H181" s="159"/>
      <c r="I181" s="162" t="s">
        <v>79</v>
      </c>
      <c r="J181" s="162" t="s">
        <v>80</v>
      </c>
      <c r="K181" s="162" t="s">
        <v>93</v>
      </c>
    </row>
    <row r="182" spans="1:11" ht="23.25" customHeight="1">
      <c r="A182" s="1199" t="s">
        <v>99</v>
      </c>
      <c r="B182" s="1199"/>
      <c r="C182" s="115" t="s">
        <v>148</v>
      </c>
      <c r="D182" s="15" t="s">
        <v>100</v>
      </c>
      <c r="E182" s="176">
        <v>0.2</v>
      </c>
      <c r="F182" s="176">
        <v>22.3</v>
      </c>
      <c r="G182" s="175">
        <v>4.34</v>
      </c>
      <c r="H182" s="175"/>
      <c r="I182" s="175">
        <v>0.04</v>
      </c>
      <c r="J182" s="174">
        <v>13</v>
      </c>
      <c r="K182" s="175">
        <v>3.32</v>
      </c>
    </row>
    <row r="183" spans="1:11" ht="23.25" customHeight="1">
      <c r="A183" s="1196" t="s">
        <v>149</v>
      </c>
      <c r="B183" s="1196"/>
      <c r="C183" s="116" t="s">
        <v>150</v>
      </c>
      <c r="D183" s="15" t="s">
        <v>100</v>
      </c>
      <c r="E183" s="177">
        <v>408</v>
      </c>
      <c r="F183" s="177">
        <v>775</v>
      </c>
      <c r="G183" s="177">
        <v>511</v>
      </c>
      <c r="H183" s="178"/>
      <c r="I183" s="177">
        <v>400</v>
      </c>
      <c r="J183" s="177">
        <v>760</v>
      </c>
      <c r="K183" s="177">
        <v>507</v>
      </c>
    </row>
    <row r="184" spans="1:11" ht="23.25" customHeight="1">
      <c r="A184" s="1196" t="s">
        <v>102</v>
      </c>
      <c r="B184" s="1196"/>
      <c r="C184" s="116" t="s">
        <v>151</v>
      </c>
      <c r="D184" s="15" t="s">
        <v>100</v>
      </c>
      <c r="E184" s="177">
        <v>86</v>
      </c>
      <c r="F184" s="177">
        <v>170</v>
      </c>
      <c r="G184" s="177">
        <v>113</v>
      </c>
      <c r="H184" s="178"/>
      <c r="I184" s="177">
        <v>86</v>
      </c>
      <c r="J184" s="177">
        <v>154</v>
      </c>
      <c r="K184" s="177">
        <v>113</v>
      </c>
    </row>
    <row r="185" spans="1:11" ht="23.25" customHeight="1">
      <c r="A185" s="1195" t="s">
        <v>152</v>
      </c>
      <c r="B185" s="1195"/>
      <c r="C185" s="116" t="s">
        <v>153</v>
      </c>
      <c r="D185" s="15" t="s">
        <v>100</v>
      </c>
      <c r="E185" s="177">
        <v>862</v>
      </c>
      <c r="F185" s="177">
        <v>1330</v>
      </c>
      <c r="G185" s="177">
        <v>980</v>
      </c>
      <c r="H185" s="178"/>
      <c r="I185" s="177">
        <v>862</v>
      </c>
      <c r="J185" s="177">
        <v>1468</v>
      </c>
      <c r="K185" s="177">
        <v>984</v>
      </c>
    </row>
    <row r="186" spans="1:11" ht="23.25" customHeight="1">
      <c r="A186" s="1196" t="s">
        <v>154</v>
      </c>
      <c r="B186" s="1196"/>
      <c r="C186" s="116" t="s">
        <v>101</v>
      </c>
      <c r="D186" s="1284" t="s">
        <v>653</v>
      </c>
      <c r="E186" s="177">
        <v>6</v>
      </c>
      <c r="F186" s="178">
        <v>8.3000000000000007</v>
      </c>
      <c r="G186" s="179">
        <v>7.61</v>
      </c>
      <c r="H186" s="179"/>
      <c r="I186" s="178">
        <v>6.8</v>
      </c>
      <c r="J186" s="178">
        <v>8.5</v>
      </c>
      <c r="K186" s="178">
        <v>7.6</v>
      </c>
    </row>
    <row r="187" spans="1:11" ht="23.25" customHeight="1">
      <c r="A187" s="1196" t="s">
        <v>155</v>
      </c>
      <c r="B187" s="1196"/>
      <c r="C187" s="116" t="s">
        <v>156</v>
      </c>
      <c r="D187" s="15" t="s">
        <v>100</v>
      </c>
      <c r="E187" s="177">
        <v>109</v>
      </c>
      <c r="F187" s="177">
        <v>211</v>
      </c>
      <c r="G187" s="177">
        <v>151</v>
      </c>
      <c r="H187" s="178"/>
      <c r="I187" s="177">
        <v>107</v>
      </c>
      <c r="J187" s="177">
        <v>215</v>
      </c>
      <c r="K187" s="177">
        <v>151</v>
      </c>
    </row>
    <row r="188" spans="1:11" ht="23.25" customHeight="1">
      <c r="A188" s="1196" t="s">
        <v>157</v>
      </c>
      <c r="B188" s="1196"/>
      <c r="C188" s="116" t="s">
        <v>158</v>
      </c>
      <c r="D188" s="15" t="s">
        <v>100</v>
      </c>
      <c r="E188" s="180">
        <v>85</v>
      </c>
      <c r="F188" s="180">
        <v>193</v>
      </c>
      <c r="G188" s="180">
        <v>120</v>
      </c>
      <c r="H188" s="181"/>
      <c r="I188" s="177">
        <v>84</v>
      </c>
      <c r="J188" s="177">
        <v>190</v>
      </c>
      <c r="K188" s="177">
        <v>129</v>
      </c>
    </row>
    <row r="189" spans="1:11" ht="23.25" customHeight="1">
      <c r="A189" s="1196" t="s">
        <v>159</v>
      </c>
      <c r="B189" s="1196"/>
      <c r="C189" s="116" t="s">
        <v>160</v>
      </c>
      <c r="D189" s="15" t="s">
        <v>100</v>
      </c>
      <c r="E189" s="177">
        <v>15</v>
      </c>
      <c r="F189" s="177">
        <v>74</v>
      </c>
      <c r="G189" s="177">
        <v>48</v>
      </c>
      <c r="H189" s="178"/>
      <c r="I189" s="177">
        <v>23</v>
      </c>
      <c r="J189" s="177">
        <v>80</v>
      </c>
      <c r="K189" s="177">
        <v>47</v>
      </c>
    </row>
    <row r="190" spans="1:11" ht="23.25" customHeight="1">
      <c r="A190" s="1196" t="s">
        <v>161</v>
      </c>
      <c r="B190" s="1196"/>
      <c r="C190" s="117" t="s">
        <v>162</v>
      </c>
      <c r="D190" s="118" t="s">
        <v>113</v>
      </c>
      <c r="E190" s="177">
        <v>977</v>
      </c>
      <c r="F190" s="177">
        <v>2056</v>
      </c>
      <c r="G190" s="177">
        <v>1516</v>
      </c>
      <c r="H190" s="182"/>
      <c r="I190" s="183">
        <v>1005</v>
      </c>
      <c r="J190" s="183">
        <v>2411</v>
      </c>
      <c r="K190" s="183">
        <v>1553</v>
      </c>
    </row>
    <row r="191" spans="1:11" ht="23.25" customHeight="1">
      <c r="A191" s="1197" t="s">
        <v>163</v>
      </c>
      <c r="B191" s="1197"/>
      <c r="C191" s="116" t="s">
        <v>164</v>
      </c>
      <c r="D191" s="15" t="s">
        <v>100</v>
      </c>
      <c r="E191" s="177">
        <v>69</v>
      </c>
      <c r="F191" s="177">
        <v>160</v>
      </c>
      <c r="G191" s="177">
        <v>105</v>
      </c>
      <c r="H191" s="182"/>
      <c r="I191" s="183">
        <v>75</v>
      </c>
      <c r="J191" s="183">
        <v>148</v>
      </c>
      <c r="K191" s="523">
        <v>105.01</v>
      </c>
    </row>
    <row r="192" spans="1:11" ht="23.25" customHeight="1">
      <c r="A192" s="1197" t="s">
        <v>165</v>
      </c>
      <c r="B192" s="1197"/>
      <c r="C192" s="116" t="s">
        <v>166</v>
      </c>
      <c r="D192" s="15" t="s">
        <v>100</v>
      </c>
      <c r="E192" s="177">
        <v>2</v>
      </c>
      <c r="F192" s="177">
        <v>11</v>
      </c>
      <c r="G192" s="178">
        <v>6.1</v>
      </c>
      <c r="H192" s="182"/>
      <c r="I192" s="183">
        <v>2</v>
      </c>
      <c r="J192" s="183">
        <v>10</v>
      </c>
      <c r="K192" s="183">
        <v>6</v>
      </c>
    </row>
    <row r="193" spans="1:11" ht="23.25" customHeight="1" thickBot="1">
      <c r="A193" s="1198" t="s">
        <v>167</v>
      </c>
      <c r="B193" s="1198"/>
      <c r="C193" s="119" t="s">
        <v>168</v>
      </c>
      <c r="D193" s="120" t="s">
        <v>100</v>
      </c>
      <c r="E193" s="184">
        <v>288</v>
      </c>
      <c r="F193" s="184">
        <v>578</v>
      </c>
      <c r="G193" s="184">
        <v>401</v>
      </c>
      <c r="H193" s="185"/>
      <c r="I193" s="184">
        <v>307</v>
      </c>
      <c r="J193" s="184">
        <v>570</v>
      </c>
      <c r="K193" s="184">
        <v>401</v>
      </c>
    </row>
    <row r="194" spans="1:11" ht="23.25" customHeight="1" thickTop="1">
      <c r="A194" s="1112" t="s">
        <v>445</v>
      </c>
      <c r="B194" s="1112"/>
      <c r="C194" s="1112"/>
      <c r="D194" s="1112"/>
      <c r="E194" s="1112"/>
      <c r="F194" s="1112"/>
      <c r="G194" s="1112"/>
      <c r="H194" s="1112"/>
      <c r="I194" s="1112"/>
      <c r="J194" s="1112"/>
      <c r="K194" s="136" t="s">
        <v>74</v>
      </c>
    </row>
    <row r="195" spans="1:11" ht="23.25" customHeight="1">
      <c r="A195" s="540"/>
      <c r="B195" s="540"/>
      <c r="C195" s="540"/>
      <c r="D195" s="540"/>
      <c r="E195" s="540"/>
      <c r="F195" s="540"/>
      <c r="G195" s="540"/>
      <c r="H195" s="540"/>
      <c r="I195" s="540"/>
      <c r="J195" s="540"/>
      <c r="K195" s="136"/>
    </row>
    <row r="196" spans="1:11" ht="9" customHeight="1">
      <c r="A196" s="599"/>
      <c r="B196" s="599"/>
      <c r="C196" s="599"/>
      <c r="D196" s="599"/>
      <c r="E196" s="599"/>
      <c r="F196" s="599"/>
      <c r="G196" s="599"/>
      <c r="H196" s="599"/>
      <c r="I196" s="599"/>
      <c r="J196" s="599"/>
      <c r="K196" s="136"/>
    </row>
    <row r="197" spans="1:11" ht="23.25" customHeight="1">
      <c r="J197" s="519"/>
    </row>
    <row r="198" spans="1:11" ht="23.25" customHeight="1">
      <c r="A198" s="514" t="s">
        <v>204</v>
      </c>
      <c r="B198" s="514"/>
      <c r="C198" s="514"/>
      <c r="D198" s="514"/>
      <c r="E198" s="514"/>
      <c r="F198" s="514"/>
      <c r="G198" s="138"/>
      <c r="H198" s="138"/>
      <c r="I198" s="138"/>
      <c r="J198" s="138"/>
      <c r="K198" s="429">
        <v>52</v>
      </c>
    </row>
    <row r="199" spans="1:11" ht="23.25" customHeight="1">
      <c r="A199" s="1118" t="s">
        <v>530</v>
      </c>
      <c r="B199" s="1118"/>
      <c r="C199" s="1118"/>
      <c r="D199" s="1118"/>
      <c r="E199" s="1118"/>
      <c r="F199" s="1118"/>
      <c r="G199" s="1118"/>
      <c r="H199" s="1118"/>
      <c r="I199" s="1118"/>
      <c r="J199" s="1118"/>
      <c r="K199" s="1118"/>
    </row>
    <row r="200" spans="1:11" ht="23.25" customHeight="1">
      <c r="A200" s="1118" t="s">
        <v>66</v>
      </c>
      <c r="B200" s="1118"/>
      <c r="C200" s="1118"/>
      <c r="D200" s="1118"/>
      <c r="E200" s="1118"/>
      <c r="F200" s="1118"/>
      <c r="G200" s="1118"/>
      <c r="H200" s="1118"/>
      <c r="I200" s="1118"/>
      <c r="J200" s="1118"/>
      <c r="K200" s="1118"/>
    </row>
    <row r="201" spans="1:11" ht="23.25" customHeight="1" thickBot="1">
      <c r="A201" s="1110" t="s">
        <v>383</v>
      </c>
      <c r="B201" s="1110"/>
      <c r="C201" s="1110"/>
      <c r="D201" s="1110"/>
      <c r="E201" s="1110"/>
      <c r="F201" s="1110"/>
      <c r="G201" s="1110"/>
      <c r="H201" s="1110"/>
      <c r="I201" s="1110"/>
      <c r="J201" s="1110"/>
      <c r="K201" s="1110"/>
    </row>
    <row r="202" spans="1:11" ht="23.25" customHeight="1" thickTop="1">
      <c r="A202" s="1116" t="s">
        <v>178</v>
      </c>
      <c r="B202" s="1116"/>
      <c r="C202" s="515"/>
      <c r="D202" s="1116" t="s">
        <v>147</v>
      </c>
      <c r="E202" s="1111" t="s">
        <v>244</v>
      </c>
      <c r="F202" s="1111"/>
      <c r="G202" s="1111"/>
      <c r="H202" s="517"/>
      <c r="I202" s="1111" t="s">
        <v>92</v>
      </c>
      <c r="J202" s="1111"/>
      <c r="K202" s="1111"/>
    </row>
    <row r="203" spans="1:11" ht="23.25" customHeight="1">
      <c r="A203" s="1190"/>
      <c r="B203" s="1190"/>
      <c r="C203" s="518"/>
      <c r="D203" s="1190"/>
      <c r="E203" s="162" t="s">
        <v>79</v>
      </c>
      <c r="F203" s="162" t="s">
        <v>80</v>
      </c>
      <c r="G203" s="162" t="s">
        <v>93</v>
      </c>
      <c r="H203" s="159"/>
      <c r="I203" s="162" t="s">
        <v>79</v>
      </c>
      <c r="J203" s="162" t="s">
        <v>80</v>
      </c>
      <c r="K203" s="162" t="s">
        <v>93</v>
      </c>
    </row>
    <row r="204" spans="1:11" ht="23.25" customHeight="1">
      <c r="A204" s="1199" t="s">
        <v>99</v>
      </c>
      <c r="B204" s="1199"/>
      <c r="C204" s="115" t="s">
        <v>148</v>
      </c>
      <c r="D204" s="15" t="s">
        <v>100</v>
      </c>
      <c r="E204" s="274">
        <v>1.01</v>
      </c>
      <c r="F204" s="275">
        <v>172</v>
      </c>
      <c r="G204" s="274">
        <v>25.79</v>
      </c>
      <c r="H204" s="274"/>
      <c r="I204" s="274">
        <v>0.33</v>
      </c>
      <c r="J204" s="275">
        <v>79</v>
      </c>
      <c r="K204" s="274">
        <v>14.78</v>
      </c>
    </row>
    <row r="205" spans="1:11" ht="23.25" customHeight="1">
      <c r="A205" s="1196" t="s">
        <v>149</v>
      </c>
      <c r="B205" s="1196"/>
      <c r="C205" s="116" t="s">
        <v>150</v>
      </c>
      <c r="D205" s="15" t="s">
        <v>100</v>
      </c>
      <c r="E205" s="273">
        <v>419</v>
      </c>
      <c r="F205" s="273">
        <v>673</v>
      </c>
      <c r="G205" s="273">
        <v>509</v>
      </c>
      <c r="H205" s="273"/>
      <c r="I205" s="273">
        <v>400</v>
      </c>
      <c r="J205" s="273">
        <v>682</v>
      </c>
      <c r="K205" s="273">
        <v>510</v>
      </c>
    </row>
    <row r="206" spans="1:11" ht="23.25" customHeight="1">
      <c r="A206" s="1196" t="s">
        <v>102</v>
      </c>
      <c r="B206" s="1196"/>
      <c r="C206" s="116" t="s">
        <v>151</v>
      </c>
      <c r="D206" s="15" t="s">
        <v>100</v>
      </c>
      <c r="E206" s="54">
        <v>84</v>
      </c>
      <c r="F206" s="54">
        <v>200</v>
      </c>
      <c r="G206" s="54">
        <v>123</v>
      </c>
      <c r="H206" s="54"/>
      <c r="I206" s="54">
        <v>90</v>
      </c>
      <c r="J206" s="54">
        <v>184</v>
      </c>
      <c r="K206" s="54">
        <v>121</v>
      </c>
    </row>
    <row r="207" spans="1:11" ht="23.25" customHeight="1">
      <c r="A207" s="1195" t="s">
        <v>152</v>
      </c>
      <c r="B207" s="1195"/>
      <c r="C207" s="116" t="s">
        <v>153</v>
      </c>
      <c r="D207" s="15" t="s">
        <v>100</v>
      </c>
      <c r="E207" s="116">
        <v>856</v>
      </c>
      <c r="F207" s="273">
        <v>1258</v>
      </c>
      <c r="G207" s="273">
        <v>980</v>
      </c>
      <c r="H207" s="273"/>
      <c r="I207" s="273">
        <v>870</v>
      </c>
      <c r="J207" s="273">
        <v>1298</v>
      </c>
      <c r="K207" s="273">
        <v>990</v>
      </c>
    </row>
    <row r="208" spans="1:11" ht="23.25" customHeight="1">
      <c r="A208" s="1196" t="s">
        <v>154</v>
      </c>
      <c r="B208" s="1196"/>
      <c r="C208" s="116" t="s">
        <v>101</v>
      </c>
      <c r="D208" s="1284" t="s">
        <v>653</v>
      </c>
      <c r="E208" s="54">
        <v>6.8</v>
      </c>
      <c r="F208" s="54">
        <v>8.5</v>
      </c>
      <c r="G208" s="54">
        <v>7.97</v>
      </c>
      <c r="H208" s="54"/>
      <c r="I208" s="54">
        <v>6.8</v>
      </c>
      <c r="J208" s="54">
        <v>8.6999999999999993</v>
      </c>
      <c r="K208" s="54">
        <v>7.8</v>
      </c>
    </row>
    <row r="209" spans="1:11" ht="23.25" customHeight="1">
      <c r="A209" s="1196" t="s">
        <v>155</v>
      </c>
      <c r="B209" s="1196"/>
      <c r="C209" s="116" t="s">
        <v>156</v>
      </c>
      <c r="D209" s="15" t="s">
        <v>100</v>
      </c>
      <c r="E209" s="54">
        <v>128</v>
      </c>
      <c r="F209" s="54">
        <v>239</v>
      </c>
      <c r="G209" s="54">
        <v>156</v>
      </c>
      <c r="H209" s="54"/>
      <c r="I209" s="54">
        <v>131</v>
      </c>
      <c r="J209" s="54">
        <v>252</v>
      </c>
      <c r="K209" s="54">
        <v>160</v>
      </c>
    </row>
    <row r="210" spans="1:11" ht="23.25" customHeight="1">
      <c r="A210" s="1196" t="s">
        <v>157</v>
      </c>
      <c r="B210" s="1196"/>
      <c r="C210" s="116" t="s">
        <v>158</v>
      </c>
      <c r="D210" s="15" t="s">
        <v>100</v>
      </c>
      <c r="E210" s="54">
        <v>102</v>
      </c>
      <c r="F210" s="54">
        <v>166</v>
      </c>
      <c r="G210" s="54">
        <v>129</v>
      </c>
      <c r="H210" s="54"/>
      <c r="I210" s="54">
        <v>105</v>
      </c>
      <c r="J210" s="54">
        <v>168</v>
      </c>
      <c r="K210" s="54">
        <v>129</v>
      </c>
    </row>
    <row r="211" spans="1:11" ht="23.25" customHeight="1">
      <c r="A211" s="1196" t="s">
        <v>159</v>
      </c>
      <c r="B211" s="1196"/>
      <c r="C211" s="116" t="s">
        <v>160</v>
      </c>
      <c r="D211" s="15" t="s">
        <v>100</v>
      </c>
      <c r="E211" s="54">
        <v>28</v>
      </c>
      <c r="F211" s="54">
        <v>67</v>
      </c>
      <c r="G211" s="54">
        <v>44</v>
      </c>
      <c r="H211" s="54"/>
      <c r="I211" s="272">
        <v>18</v>
      </c>
      <c r="J211" s="272">
        <v>72</v>
      </c>
      <c r="K211" s="272">
        <v>45</v>
      </c>
    </row>
    <row r="212" spans="1:11" ht="23.25" customHeight="1">
      <c r="A212" s="1196" t="s">
        <v>161</v>
      </c>
      <c r="B212" s="1196"/>
      <c r="C212" s="117" t="s">
        <v>162</v>
      </c>
      <c r="D212" s="118" t="s">
        <v>113</v>
      </c>
      <c r="E212" s="272">
        <v>1287</v>
      </c>
      <c r="F212" s="272">
        <v>1975</v>
      </c>
      <c r="G212" s="272">
        <v>1371</v>
      </c>
      <c r="H212" s="272"/>
      <c r="I212" s="54">
        <v>1276</v>
      </c>
      <c r="J212" s="273">
        <v>1959</v>
      </c>
      <c r="K212" s="273">
        <v>1494</v>
      </c>
    </row>
    <row r="213" spans="1:11" ht="23.25" customHeight="1">
      <c r="A213" s="1197" t="s">
        <v>163</v>
      </c>
      <c r="B213" s="1197"/>
      <c r="C213" s="116" t="s">
        <v>164</v>
      </c>
      <c r="D213" s="15" t="s">
        <v>100</v>
      </c>
      <c r="E213" s="116">
        <v>0</v>
      </c>
      <c r="F213" s="116">
        <v>0</v>
      </c>
      <c r="G213" s="116">
        <v>0</v>
      </c>
      <c r="H213" s="116">
        <v>0</v>
      </c>
      <c r="I213" s="116">
        <v>0</v>
      </c>
      <c r="J213" s="116">
        <v>0</v>
      </c>
      <c r="K213" s="116">
        <v>0</v>
      </c>
    </row>
    <row r="214" spans="1:11" ht="23.25" customHeight="1">
      <c r="A214" s="1197" t="s">
        <v>165</v>
      </c>
      <c r="B214" s="1197"/>
      <c r="C214" s="116" t="s">
        <v>166</v>
      </c>
      <c r="D214" s="15" t="s">
        <v>100</v>
      </c>
      <c r="E214" s="116">
        <v>0</v>
      </c>
      <c r="F214" s="116">
        <v>0</v>
      </c>
      <c r="G214" s="116">
        <v>0</v>
      </c>
      <c r="H214" s="116">
        <v>0</v>
      </c>
      <c r="I214" s="116">
        <v>0</v>
      </c>
      <c r="J214" s="116">
        <v>0</v>
      </c>
      <c r="K214" s="116">
        <v>0</v>
      </c>
    </row>
    <row r="215" spans="1:11" ht="23.25" customHeight="1" thickBot="1">
      <c r="A215" s="1198" t="s">
        <v>167</v>
      </c>
      <c r="B215" s="1198"/>
      <c r="C215" s="119" t="s">
        <v>168</v>
      </c>
      <c r="D215" s="120" t="s">
        <v>100</v>
      </c>
      <c r="E215" s="55">
        <v>326</v>
      </c>
      <c r="F215" s="55">
        <v>547</v>
      </c>
      <c r="G215" s="569">
        <v>418</v>
      </c>
      <c r="H215" s="55"/>
      <c r="I215" s="55">
        <v>51</v>
      </c>
      <c r="J215" s="55">
        <v>330</v>
      </c>
      <c r="K215" s="55">
        <v>432</v>
      </c>
    </row>
    <row r="216" spans="1:11" ht="23.25" customHeight="1" thickTop="1">
      <c r="A216" s="481"/>
      <c r="B216" s="482"/>
      <c r="C216" s="482"/>
      <c r="D216" s="482"/>
      <c r="E216" s="482"/>
      <c r="F216" s="482"/>
      <c r="G216" s="102"/>
      <c r="H216" s="102"/>
      <c r="I216" s="102"/>
      <c r="J216" s="102"/>
      <c r="K216" s="104"/>
    </row>
    <row r="217" spans="1:11" ht="23.25" customHeight="1">
      <c r="A217" s="1118" t="s">
        <v>530</v>
      </c>
      <c r="B217" s="1118"/>
      <c r="C217" s="1118"/>
      <c r="D217" s="1118"/>
      <c r="E217" s="1118"/>
      <c r="F217" s="1118"/>
      <c r="G217" s="1118"/>
      <c r="H217" s="1118"/>
      <c r="I217" s="1118"/>
      <c r="J217" s="1118"/>
      <c r="K217" s="1118"/>
    </row>
    <row r="218" spans="1:11" ht="23.25" customHeight="1">
      <c r="A218" s="1118" t="s">
        <v>67</v>
      </c>
      <c r="B218" s="1118"/>
      <c r="C218" s="1118"/>
      <c r="D218" s="1118"/>
      <c r="E218" s="1118"/>
      <c r="F218" s="1118"/>
      <c r="G218" s="1118"/>
      <c r="H218" s="1118"/>
      <c r="I218" s="1118"/>
      <c r="J218" s="1118"/>
      <c r="K218" s="1118"/>
    </row>
    <row r="219" spans="1:11" ht="23.25" customHeight="1" thickBot="1">
      <c r="A219" s="1110" t="s">
        <v>383</v>
      </c>
      <c r="B219" s="1110"/>
      <c r="C219" s="1110"/>
      <c r="D219" s="1110"/>
      <c r="E219" s="1110"/>
      <c r="F219" s="1110"/>
      <c r="G219" s="1110"/>
      <c r="H219" s="1110"/>
      <c r="I219" s="1110"/>
      <c r="J219" s="1110"/>
      <c r="K219" s="1110"/>
    </row>
    <row r="220" spans="1:11" ht="23.25" customHeight="1" thickTop="1">
      <c r="A220" s="1116" t="s">
        <v>178</v>
      </c>
      <c r="B220" s="1116"/>
      <c r="C220" s="515"/>
      <c r="D220" s="1116" t="s">
        <v>147</v>
      </c>
      <c r="E220" s="1111" t="s">
        <v>244</v>
      </c>
      <c r="F220" s="1111"/>
      <c r="G220" s="1111"/>
      <c r="H220" s="517"/>
      <c r="I220" s="1111" t="s">
        <v>92</v>
      </c>
      <c r="J220" s="1111"/>
      <c r="K220" s="1111"/>
    </row>
    <row r="221" spans="1:11" ht="23.25" customHeight="1">
      <c r="A221" s="1190"/>
      <c r="B221" s="1190"/>
      <c r="C221" s="518"/>
      <c r="D221" s="1190"/>
      <c r="E221" s="162" t="s">
        <v>79</v>
      </c>
      <c r="F221" s="162" t="s">
        <v>80</v>
      </c>
      <c r="G221" s="162" t="s">
        <v>93</v>
      </c>
      <c r="H221" s="159"/>
      <c r="I221" s="162" t="s">
        <v>79</v>
      </c>
      <c r="J221" s="162" t="s">
        <v>80</v>
      </c>
      <c r="K221" s="162" t="s">
        <v>93</v>
      </c>
    </row>
    <row r="222" spans="1:11" ht="23.25" customHeight="1">
      <c r="A222" s="1199" t="s">
        <v>99</v>
      </c>
      <c r="B222" s="1199"/>
      <c r="C222" s="115" t="s">
        <v>148</v>
      </c>
      <c r="D222" s="15" t="s">
        <v>100</v>
      </c>
      <c r="E222" s="279">
        <v>0.7</v>
      </c>
      <c r="F222" s="277">
        <v>272</v>
      </c>
      <c r="G222" s="278">
        <v>26.08</v>
      </c>
      <c r="H222" s="278"/>
      <c r="I222" s="278">
        <v>0.17</v>
      </c>
      <c r="J222" s="277">
        <v>81</v>
      </c>
      <c r="K222" s="279">
        <v>16.11</v>
      </c>
    </row>
    <row r="223" spans="1:11" ht="23.25" customHeight="1">
      <c r="A223" s="1196" t="s">
        <v>149</v>
      </c>
      <c r="B223" s="1196"/>
      <c r="C223" s="116" t="s">
        <v>150</v>
      </c>
      <c r="D223" s="15" t="s">
        <v>100</v>
      </c>
      <c r="E223" s="280">
        <v>427</v>
      </c>
      <c r="F223" s="280">
        <v>5399</v>
      </c>
      <c r="G223" s="280">
        <v>855</v>
      </c>
      <c r="H223" s="281"/>
      <c r="I223" s="280">
        <v>430</v>
      </c>
      <c r="J223" s="280">
        <v>5437</v>
      </c>
      <c r="K223" s="280">
        <v>857</v>
      </c>
    </row>
    <row r="224" spans="1:11" ht="23.25" customHeight="1">
      <c r="A224" s="1196" t="s">
        <v>102</v>
      </c>
      <c r="B224" s="1196"/>
      <c r="C224" s="116" t="s">
        <v>151</v>
      </c>
      <c r="D224" s="15" t="s">
        <v>100</v>
      </c>
      <c r="E224" s="280">
        <v>120</v>
      </c>
      <c r="F224" s="280">
        <v>220</v>
      </c>
      <c r="G224" s="280">
        <v>143</v>
      </c>
      <c r="H224" s="282"/>
      <c r="I224" s="280">
        <v>98</v>
      </c>
      <c r="J224" s="280">
        <v>220</v>
      </c>
      <c r="K224" s="280">
        <v>143</v>
      </c>
    </row>
    <row r="225" spans="1:11" ht="23.25" customHeight="1">
      <c r="A225" s="1195" t="s">
        <v>152</v>
      </c>
      <c r="B225" s="1195"/>
      <c r="C225" s="116" t="s">
        <v>153</v>
      </c>
      <c r="D225" s="15" t="s">
        <v>100</v>
      </c>
      <c r="E225" s="280">
        <v>1104</v>
      </c>
      <c r="F225" s="280">
        <v>9274</v>
      </c>
      <c r="G225" s="280">
        <v>2102</v>
      </c>
      <c r="H225" s="282"/>
      <c r="I225" s="280">
        <v>111</v>
      </c>
      <c r="J225" s="280">
        <v>9340</v>
      </c>
      <c r="K225" s="281">
        <v>2107.9499999999998</v>
      </c>
    </row>
    <row r="226" spans="1:11" ht="23.25" customHeight="1">
      <c r="A226" s="1196" t="s">
        <v>154</v>
      </c>
      <c r="B226" s="1196"/>
      <c r="C226" s="116" t="s">
        <v>101</v>
      </c>
      <c r="D226" s="1284" t="s">
        <v>653</v>
      </c>
      <c r="E226" s="282">
        <v>7.5</v>
      </c>
      <c r="F226" s="282">
        <v>8.4</v>
      </c>
      <c r="G226" s="281">
        <v>8.06</v>
      </c>
      <c r="H226" s="282"/>
      <c r="I226" s="282">
        <v>7.1</v>
      </c>
      <c r="J226" s="282">
        <v>8.6</v>
      </c>
      <c r="K226" s="282">
        <v>7.9</v>
      </c>
    </row>
    <row r="227" spans="1:11" ht="23.25" customHeight="1">
      <c r="A227" s="1196" t="s">
        <v>155</v>
      </c>
      <c r="B227" s="1196"/>
      <c r="C227" s="116" t="s">
        <v>156</v>
      </c>
      <c r="D227" s="15" t="s">
        <v>100</v>
      </c>
      <c r="E227" s="280">
        <v>177</v>
      </c>
      <c r="F227" s="280">
        <v>2600</v>
      </c>
      <c r="G227" s="280">
        <v>523</v>
      </c>
      <c r="H227" s="282"/>
      <c r="I227" s="280">
        <v>178</v>
      </c>
      <c r="J227" s="280">
        <v>2610</v>
      </c>
      <c r="K227" s="280">
        <v>525</v>
      </c>
    </row>
    <row r="228" spans="1:11" ht="23.25" customHeight="1">
      <c r="A228" s="1196" t="s">
        <v>157</v>
      </c>
      <c r="B228" s="1196"/>
      <c r="C228" s="116" t="s">
        <v>158</v>
      </c>
      <c r="D228" s="15" t="s">
        <v>100</v>
      </c>
      <c r="E228" s="283">
        <v>84</v>
      </c>
      <c r="F228" s="283">
        <v>884</v>
      </c>
      <c r="G228" s="283">
        <v>170</v>
      </c>
      <c r="H228" s="284"/>
      <c r="I228" s="280">
        <v>72</v>
      </c>
      <c r="J228" s="280">
        <v>890</v>
      </c>
      <c r="K228" s="280">
        <v>172</v>
      </c>
    </row>
    <row r="229" spans="1:11" ht="23.25" customHeight="1">
      <c r="A229" s="1196" t="s">
        <v>159</v>
      </c>
      <c r="B229" s="1196"/>
      <c r="C229" s="116" t="s">
        <v>160</v>
      </c>
      <c r="D229" s="15" t="s">
        <v>100</v>
      </c>
      <c r="E229" s="280">
        <v>48</v>
      </c>
      <c r="F229" s="280">
        <v>778</v>
      </c>
      <c r="G229" s="280">
        <v>105</v>
      </c>
      <c r="H229" s="282"/>
      <c r="I229" s="280">
        <v>44</v>
      </c>
      <c r="J229" s="280">
        <v>784</v>
      </c>
      <c r="K229" s="280">
        <v>105</v>
      </c>
    </row>
    <row r="230" spans="1:11" ht="23.25" customHeight="1">
      <c r="A230" s="1196" t="s">
        <v>161</v>
      </c>
      <c r="B230" s="1196"/>
      <c r="C230" s="117" t="s">
        <v>162</v>
      </c>
      <c r="D230" s="118" t="s">
        <v>113</v>
      </c>
      <c r="E230" s="280">
        <v>1600</v>
      </c>
      <c r="F230" s="280">
        <v>15160</v>
      </c>
      <c r="G230" s="280">
        <v>3114</v>
      </c>
      <c r="H230" s="285"/>
      <c r="I230" s="286">
        <v>1580</v>
      </c>
      <c r="J230" s="286">
        <v>22848</v>
      </c>
      <c r="K230" s="286">
        <v>3111</v>
      </c>
    </row>
    <row r="231" spans="1:11" ht="23.25" customHeight="1">
      <c r="A231" s="1197" t="s">
        <v>163</v>
      </c>
      <c r="B231" s="1197"/>
      <c r="C231" s="116" t="s">
        <v>164</v>
      </c>
      <c r="D231" s="15" t="s">
        <v>100</v>
      </c>
      <c r="E231" s="280">
        <v>130</v>
      </c>
      <c r="F231" s="280">
        <v>1100</v>
      </c>
      <c r="G231" s="280">
        <v>354</v>
      </c>
      <c r="H231" s="285"/>
      <c r="I231" s="286">
        <v>145</v>
      </c>
      <c r="J231" s="286">
        <v>1150</v>
      </c>
      <c r="K231" s="286">
        <v>354</v>
      </c>
    </row>
    <row r="232" spans="1:11" ht="23.25" customHeight="1">
      <c r="A232" s="1197" t="s">
        <v>165</v>
      </c>
      <c r="B232" s="1197"/>
      <c r="C232" s="116" t="s">
        <v>166</v>
      </c>
      <c r="D232" s="15" t="s">
        <v>100</v>
      </c>
      <c r="E232" s="282">
        <v>4.7</v>
      </c>
      <c r="F232" s="282">
        <v>11.1</v>
      </c>
      <c r="G232" s="282">
        <v>7.2</v>
      </c>
      <c r="H232" s="287"/>
      <c r="I232" s="285">
        <v>4.5</v>
      </c>
      <c r="J232" s="285">
        <v>11.1</v>
      </c>
      <c r="K232" s="285">
        <v>7.2</v>
      </c>
    </row>
    <row r="233" spans="1:11" ht="23.25" customHeight="1" thickBot="1">
      <c r="A233" s="1198" t="s">
        <v>167</v>
      </c>
      <c r="B233" s="1198"/>
      <c r="C233" s="119" t="s">
        <v>168</v>
      </c>
      <c r="D233" s="120" t="s">
        <v>100</v>
      </c>
      <c r="E233" s="288">
        <v>337</v>
      </c>
      <c r="F233" s="288">
        <v>4000</v>
      </c>
      <c r="G233" s="288">
        <v>694</v>
      </c>
      <c r="H233" s="289"/>
      <c r="I233" s="288">
        <v>338</v>
      </c>
      <c r="J233" s="288">
        <v>1648</v>
      </c>
      <c r="K233" s="288">
        <v>695</v>
      </c>
    </row>
    <row r="234" spans="1:11" ht="23.25" customHeight="1" thickTop="1">
      <c r="A234" s="1112" t="s">
        <v>445</v>
      </c>
      <c r="B234" s="1112"/>
      <c r="C234" s="1112"/>
      <c r="D234" s="1112"/>
      <c r="E234" s="1112"/>
      <c r="F234" s="1112"/>
      <c r="G234" s="1112"/>
      <c r="H234" s="1112"/>
      <c r="I234" s="1112"/>
      <c r="J234" s="1112"/>
      <c r="K234" s="136" t="s">
        <v>74</v>
      </c>
    </row>
    <row r="235" spans="1:11" ht="23.25" customHeight="1">
      <c r="A235" s="540"/>
      <c r="B235" s="540"/>
      <c r="C235" s="540"/>
      <c r="D235" s="540"/>
      <c r="E235" s="540"/>
      <c r="F235" s="540"/>
      <c r="G235" s="540"/>
      <c r="H235" s="540"/>
      <c r="I235" s="540"/>
      <c r="J235" s="540"/>
      <c r="K235" s="136"/>
    </row>
    <row r="236" spans="1:11" ht="13.5" customHeight="1">
      <c r="A236" s="599"/>
      <c r="B236" s="599"/>
      <c r="C236" s="599"/>
      <c r="D236" s="599"/>
      <c r="E236" s="599"/>
      <c r="F236" s="599"/>
      <c r="G236" s="599"/>
      <c r="H236" s="599"/>
      <c r="I236" s="599"/>
      <c r="J236" s="599"/>
      <c r="K236" s="136"/>
    </row>
    <row r="237" spans="1:11" ht="27" customHeight="1">
      <c r="J237" s="519"/>
    </row>
    <row r="238" spans="1:11" ht="23.25" customHeight="1">
      <c r="A238" s="514" t="s">
        <v>204</v>
      </c>
      <c r="B238" s="514"/>
      <c r="C238" s="514"/>
      <c r="D238" s="514"/>
      <c r="E238" s="514"/>
      <c r="F238" s="514"/>
      <c r="G238" s="138"/>
      <c r="H238" s="138"/>
      <c r="I238" s="138"/>
      <c r="J238" s="138"/>
      <c r="K238" s="429">
        <v>53</v>
      </c>
    </row>
    <row r="239" spans="1:11" ht="23.25" customHeight="1">
      <c r="A239" s="1118" t="s">
        <v>530</v>
      </c>
      <c r="B239" s="1118"/>
      <c r="C239" s="1118"/>
      <c r="D239" s="1118"/>
      <c r="E239" s="1118"/>
      <c r="F239" s="1118"/>
      <c r="G239" s="1118"/>
      <c r="H239" s="1118"/>
      <c r="I239" s="1118"/>
      <c r="J239" s="1118"/>
      <c r="K239" s="1118"/>
    </row>
    <row r="240" spans="1:11" ht="23.25" customHeight="1">
      <c r="A240" s="1118" t="s">
        <v>68</v>
      </c>
      <c r="B240" s="1118"/>
      <c r="C240" s="1118"/>
      <c r="D240" s="1118"/>
      <c r="E240" s="1118"/>
      <c r="F240" s="1118"/>
      <c r="G240" s="1118"/>
      <c r="H240" s="1118"/>
      <c r="I240" s="1118"/>
      <c r="J240" s="1118"/>
      <c r="K240" s="1118"/>
    </row>
    <row r="241" spans="1:11" ht="23.25" customHeight="1" thickBot="1">
      <c r="A241" s="1110" t="s">
        <v>383</v>
      </c>
      <c r="B241" s="1110"/>
      <c r="C241" s="1110"/>
      <c r="D241" s="1110"/>
      <c r="E241" s="1110"/>
      <c r="F241" s="1110"/>
      <c r="G241" s="1110"/>
      <c r="H241" s="1110"/>
      <c r="I241" s="1110"/>
      <c r="J241" s="1110"/>
      <c r="K241" s="1110"/>
    </row>
    <row r="242" spans="1:11" ht="23.25" customHeight="1" thickTop="1">
      <c r="A242" s="1116" t="s">
        <v>178</v>
      </c>
      <c r="B242" s="1116"/>
      <c r="C242" s="515"/>
      <c r="D242" s="1116" t="s">
        <v>147</v>
      </c>
      <c r="E242" s="1111" t="s">
        <v>244</v>
      </c>
      <c r="F242" s="1111"/>
      <c r="G242" s="1111"/>
      <c r="H242" s="517"/>
      <c r="I242" s="1111" t="s">
        <v>92</v>
      </c>
      <c r="J242" s="1111"/>
      <c r="K242" s="1111"/>
    </row>
    <row r="243" spans="1:11" ht="23.25" customHeight="1">
      <c r="A243" s="1190"/>
      <c r="B243" s="1190"/>
      <c r="C243" s="518"/>
      <c r="D243" s="1190"/>
      <c r="E243" s="162" t="s">
        <v>79</v>
      </c>
      <c r="F243" s="162" t="s">
        <v>80</v>
      </c>
      <c r="G243" s="162" t="s">
        <v>93</v>
      </c>
      <c r="H243" s="159"/>
      <c r="I243" s="162" t="s">
        <v>79</v>
      </c>
      <c r="J243" s="162" t="s">
        <v>80</v>
      </c>
      <c r="K243" s="162" t="s">
        <v>93</v>
      </c>
    </row>
    <row r="244" spans="1:11" ht="23.25" customHeight="1">
      <c r="A244" s="1199" t="s">
        <v>99</v>
      </c>
      <c r="B244" s="1199"/>
      <c r="C244" s="115" t="s">
        <v>148</v>
      </c>
      <c r="D244" s="15" t="s">
        <v>100</v>
      </c>
      <c r="E244" s="391">
        <v>6.29</v>
      </c>
      <c r="F244" s="273">
        <v>223</v>
      </c>
      <c r="G244" s="391">
        <v>59.14</v>
      </c>
      <c r="H244" s="290"/>
      <c r="I244" s="292">
        <v>2.95</v>
      </c>
      <c r="J244" s="291">
        <v>178</v>
      </c>
      <c r="K244" s="982">
        <v>39.700000000000003</v>
      </c>
    </row>
    <row r="245" spans="1:11" ht="23.25" customHeight="1">
      <c r="A245" s="1196" t="s">
        <v>149</v>
      </c>
      <c r="B245" s="1196"/>
      <c r="C245" s="116" t="s">
        <v>150</v>
      </c>
      <c r="D245" s="15" t="s">
        <v>100</v>
      </c>
      <c r="E245" s="273">
        <v>318</v>
      </c>
      <c r="F245" s="273">
        <v>2064</v>
      </c>
      <c r="G245" s="273">
        <v>464</v>
      </c>
      <c r="H245" s="293"/>
      <c r="I245" s="273">
        <v>328</v>
      </c>
      <c r="J245" s="273">
        <v>2110</v>
      </c>
      <c r="K245" s="273">
        <v>472</v>
      </c>
    </row>
    <row r="246" spans="1:11" ht="23.25" customHeight="1">
      <c r="A246" s="1196" t="s">
        <v>102</v>
      </c>
      <c r="B246" s="1196"/>
      <c r="C246" s="116" t="s">
        <v>151</v>
      </c>
      <c r="D246" s="15" t="s">
        <v>100</v>
      </c>
      <c r="E246" s="116">
        <v>124</v>
      </c>
      <c r="F246" s="116">
        <v>185</v>
      </c>
      <c r="G246" s="116">
        <v>150</v>
      </c>
      <c r="H246" s="116"/>
      <c r="I246" s="116">
        <v>120</v>
      </c>
      <c r="J246" s="116">
        <v>167</v>
      </c>
      <c r="K246" s="294">
        <v>146</v>
      </c>
    </row>
    <row r="247" spans="1:11" ht="23.25" customHeight="1">
      <c r="A247" s="1195" t="s">
        <v>152</v>
      </c>
      <c r="B247" s="1195"/>
      <c r="C247" s="116" t="s">
        <v>153</v>
      </c>
      <c r="D247" s="15" t="s">
        <v>100</v>
      </c>
      <c r="E247" s="294">
        <v>574</v>
      </c>
      <c r="F247" s="294">
        <v>3978</v>
      </c>
      <c r="G247" s="294">
        <v>809</v>
      </c>
      <c r="H247" s="295"/>
      <c r="I247" s="294">
        <v>580</v>
      </c>
      <c r="J247" s="294">
        <v>4060</v>
      </c>
      <c r="K247" s="294">
        <v>862</v>
      </c>
    </row>
    <row r="248" spans="1:11" ht="23.25" customHeight="1">
      <c r="A248" s="1196" t="s">
        <v>154</v>
      </c>
      <c r="B248" s="1196"/>
      <c r="C248" s="116" t="s">
        <v>101</v>
      </c>
      <c r="D248" s="1284" t="s">
        <v>653</v>
      </c>
      <c r="E248" s="296">
        <v>7.05</v>
      </c>
      <c r="F248" s="297">
        <v>8.17</v>
      </c>
      <c r="G248" s="296">
        <v>7.78</v>
      </c>
      <c r="H248" s="296"/>
      <c r="I248" s="297">
        <v>6.78</v>
      </c>
      <c r="J248" s="296">
        <v>8.0500000000000007</v>
      </c>
      <c r="K248" s="732">
        <v>7.6</v>
      </c>
    </row>
    <row r="249" spans="1:11" ht="23.25" customHeight="1">
      <c r="A249" s="1196" t="s">
        <v>155</v>
      </c>
      <c r="B249" s="1196"/>
      <c r="C249" s="116" t="s">
        <v>156</v>
      </c>
      <c r="D249" s="15" t="s">
        <v>100</v>
      </c>
      <c r="E249" s="273">
        <v>80</v>
      </c>
      <c r="F249" s="273">
        <v>178</v>
      </c>
      <c r="G249" s="273">
        <v>121</v>
      </c>
      <c r="H249" s="298"/>
      <c r="I249" s="273">
        <v>74</v>
      </c>
      <c r="J249" s="273">
        <v>600</v>
      </c>
      <c r="K249" s="273">
        <v>123</v>
      </c>
    </row>
    <row r="250" spans="1:11" ht="23.25" customHeight="1">
      <c r="A250" s="1196" t="s">
        <v>157</v>
      </c>
      <c r="B250" s="1196"/>
      <c r="C250" s="116" t="s">
        <v>158</v>
      </c>
      <c r="D250" s="15" t="s">
        <v>100</v>
      </c>
      <c r="E250" s="273">
        <v>76</v>
      </c>
      <c r="F250" s="273">
        <v>156</v>
      </c>
      <c r="G250" s="273">
        <v>96</v>
      </c>
      <c r="H250" s="116"/>
      <c r="I250" s="116">
        <v>78</v>
      </c>
      <c r="J250" s="116">
        <v>462</v>
      </c>
      <c r="K250" s="116">
        <v>109</v>
      </c>
    </row>
    <row r="251" spans="1:11" ht="23.25" customHeight="1">
      <c r="A251" s="1196" t="s">
        <v>159</v>
      </c>
      <c r="B251" s="1196"/>
      <c r="C251" s="116" t="s">
        <v>160</v>
      </c>
      <c r="D251" s="15" t="s">
        <v>100</v>
      </c>
      <c r="E251" s="273">
        <v>31</v>
      </c>
      <c r="F251" s="273">
        <v>78</v>
      </c>
      <c r="G251" s="273">
        <v>40</v>
      </c>
      <c r="H251" s="116"/>
      <c r="I251" s="116">
        <v>31</v>
      </c>
      <c r="J251" s="116">
        <v>80</v>
      </c>
      <c r="K251" s="116">
        <v>46</v>
      </c>
    </row>
    <row r="252" spans="1:11" ht="23.25" customHeight="1">
      <c r="A252" s="1196" t="s">
        <v>161</v>
      </c>
      <c r="B252" s="1196"/>
      <c r="C252" s="117" t="s">
        <v>162</v>
      </c>
      <c r="D252" s="118" t="s">
        <v>113</v>
      </c>
      <c r="E252" s="272">
        <v>890</v>
      </c>
      <c r="F252" s="272">
        <v>6080</v>
      </c>
      <c r="G252" s="272">
        <v>1388</v>
      </c>
      <c r="H252" s="272"/>
      <c r="I252" s="272">
        <v>902</v>
      </c>
      <c r="J252" s="272">
        <v>6230</v>
      </c>
      <c r="K252" s="272">
        <v>1338</v>
      </c>
    </row>
    <row r="253" spans="1:11" ht="23.25" customHeight="1">
      <c r="A253" s="1197" t="s">
        <v>163</v>
      </c>
      <c r="B253" s="1197"/>
      <c r="C253" s="116" t="s">
        <v>164</v>
      </c>
      <c r="D253" s="15" t="s">
        <v>100</v>
      </c>
      <c r="E253" s="116">
        <v>68</v>
      </c>
      <c r="F253" s="116">
        <v>458</v>
      </c>
      <c r="G253" s="116">
        <v>89</v>
      </c>
      <c r="H253" s="116"/>
      <c r="I253" s="116">
        <v>69</v>
      </c>
      <c r="J253" s="116">
        <v>469</v>
      </c>
      <c r="K253" s="116">
        <v>91</v>
      </c>
    </row>
    <row r="254" spans="1:11" ht="23.25" customHeight="1">
      <c r="A254" s="1197" t="s">
        <v>165</v>
      </c>
      <c r="B254" s="1197"/>
      <c r="C254" s="116" t="s">
        <v>166</v>
      </c>
      <c r="D254" s="15" t="s">
        <v>100</v>
      </c>
      <c r="E254" s="116">
        <v>3.5</v>
      </c>
      <c r="F254" s="116">
        <v>7.9</v>
      </c>
      <c r="G254" s="116">
        <v>5.9</v>
      </c>
      <c r="H254" s="295"/>
      <c r="I254" s="116">
        <v>3.7</v>
      </c>
      <c r="J254" s="116">
        <v>7.9</v>
      </c>
      <c r="K254" s="116">
        <v>6.1</v>
      </c>
    </row>
    <row r="255" spans="1:11" ht="23.25" customHeight="1" thickBot="1">
      <c r="A255" s="1198" t="s">
        <v>167</v>
      </c>
      <c r="B255" s="1198"/>
      <c r="C255" s="119" t="s">
        <v>168</v>
      </c>
      <c r="D255" s="120" t="s">
        <v>100</v>
      </c>
      <c r="E255" s="119">
        <v>207</v>
      </c>
      <c r="F255" s="300">
        <v>1763</v>
      </c>
      <c r="G255" s="300">
        <v>369</v>
      </c>
      <c r="H255" s="300"/>
      <c r="I255" s="300">
        <v>210</v>
      </c>
      <c r="J255" s="300">
        <v>590</v>
      </c>
      <c r="K255" s="300">
        <v>373</v>
      </c>
    </row>
    <row r="256" spans="1:11" ht="23.25" customHeight="1" thickTop="1">
      <c r="A256" s="481"/>
      <c r="B256" s="489"/>
      <c r="C256" s="103"/>
      <c r="D256" s="103"/>
      <c r="E256" s="102"/>
      <c r="F256" s="102"/>
      <c r="G256" s="102"/>
      <c r="H256" s="102"/>
      <c r="I256" s="102"/>
      <c r="J256" s="102"/>
      <c r="K256" s="104"/>
    </row>
    <row r="257" spans="1:11" ht="23.25" customHeight="1">
      <c r="A257" s="1118" t="s">
        <v>530</v>
      </c>
      <c r="B257" s="1118"/>
      <c r="C257" s="1118"/>
      <c r="D257" s="1118"/>
      <c r="E257" s="1118"/>
      <c r="F257" s="1118"/>
      <c r="G257" s="1118"/>
      <c r="H257" s="1118"/>
      <c r="I257" s="1118"/>
      <c r="J257" s="1118"/>
      <c r="K257" s="1118"/>
    </row>
    <row r="258" spans="1:11" ht="23.25" customHeight="1">
      <c r="A258" s="1118" t="s">
        <v>69</v>
      </c>
      <c r="B258" s="1118"/>
      <c r="C258" s="1118"/>
      <c r="D258" s="1118"/>
      <c r="E258" s="1118"/>
      <c r="F258" s="1118"/>
      <c r="G258" s="1118"/>
      <c r="H258" s="1118"/>
      <c r="I258" s="1118"/>
      <c r="J258" s="1118"/>
      <c r="K258" s="1118"/>
    </row>
    <row r="259" spans="1:11" ht="23.25" customHeight="1" thickBot="1">
      <c r="A259" s="1110" t="s">
        <v>383</v>
      </c>
      <c r="B259" s="1110"/>
      <c r="C259" s="1110"/>
      <c r="D259" s="1110"/>
      <c r="E259" s="1110"/>
      <c r="F259" s="1110"/>
      <c r="G259" s="1110"/>
      <c r="H259" s="1110"/>
      <c r="I259" s="1110"/>
      <c r="J259" s="1110"/>
      <c r="K259" s="1110"/>
    </row>
    <row r="260" spans="1:11" ht="23.25" customHeight="1" thickTop="1">
      <c r="A260" s="1116" t="s">
        <v>178</v>
      </c>
      <c r="B260" s="1116"/>
      <c r="C260" s="515"/>
      <c r="D260" s="1116" t="s">
        <v>147</v>
      </c>
      <c r="E260" s="1111" t="s">
        <v>244</v>
      </c>
      <c r="F260" s="1111"/>
      <c r="G260" s="1111"/>
      <c r="H260" s="517"/>
      <c r="I260" s="1111" t="s">
        <v>92</v>
      </c>
      <c r="J260" s="1111"/>
      <c r="K260" s="1111"/>
    </row>
    <row r="261" spans="1:11" ht="23.25" customHeight="1">
      <c r="A261" s="1190"/>
      <c r="B261" s="1190"/>
      <c r="C261" s="518"/>
      <c r="D261" s="1190"/>
      <c r="E261" s="162" t="s">
        <v>79</v>
      </c>
      <c r="F261" s="162" t="s">
        <v>80</v>
      </c>
      <c r="G261" s="162" t="s">
        <v>93</v>
      </c>
      <c r="H261" s="159"/>
      <c r="I261" s="162" t="s">
        <v>79</v>
      </c>
      <c r="J261" s="162" t="s">
        <v>80</v>
      </c>
      <c r="K261" s="162" t="s">
        <v>93</v>
      </c>
    </row>
    <row r="262" spans="1:11" ht="23.25" customHeight="1">
      <c r="A262" s="1199" t="s">
        <v>99</v>
      </c>
      <c r="B262" s="1199"/>
      <c r="C262" s="115" t="s">
        <v>148</v>
      </c>
      <c r="D262" s="15" t="s">
        <v>100</v>
      </c>
      <c r="E262" s="277">
        <v>4</v>
      </c>
      <c r="F262" s="277">
        <v>220</v>
      </c>
      <c r="G262" s="278">
        <v>38.340000000000003</v>
      </c>
      <c r="H262" s="278"/>
      <c r="I262" s="277">
        <v>1</v>
      </c>
      <c r="J262" s="277">
        <v>174</v>
      </c>
      <c r="K262" s="278">
        <v>7.28</v>
      </c>
    </row>
    <row r="263" spans="1:11" ht="23.25" customHeight="1">
      <c r="A263" s="1196" t="s">
        <v>149</v>
      </c>
      <c r="B263" s="1196"/>
      <c r="C263" s="116" t="s">
        <v>150</v>
      </c>
      <c r="D263" s="15" t="s">
        <v>100</v>
      </c>
      <c r="E263" s="280">
        <v>383</v>
      </c>
      <c r="F263" s="280">
        <v>799</v>
      </c>
      <c r="G263" s="280">
        <v>496</v>
      </c>
      <c r="H263" s="282"/>
      <c r="I263" s="280">
        <v>358</v>
      </c>
      <c r="J263" s="280">
        <v>844</v>
      </c>
      <c r="K263" s="280">
        <v>497</v>
      </c>
    </row>
    <row r="264" spans="1:11" ht="23.25" customHeight="1">
      <c r="A264" s="1196" t="s">
        <v>102</v>
      </c>
      <c r="B264" s="1196"/>
      <c r="C264" s="116" t="s">
        <v>151</v>
      </c>
      <c r="D264" s="15" t="s">
        <v>100</v>
      </c>
      <c r="E264" s="280">
        <v>142</v>
      </c>
      <c r="F264" s="280">
        <v>188</v>
      </c>
      <c r="G264" s="280">
        <v>161</v>
      </c>
      <c r="H264" s="282"/>
      <c r="I264" s="280">
        <v>140</v>
      </c>
      <c r="J264" s="280">
        <v>180</v>
      </c>
      <c r="K264" s="280">
        <v>156</v>
      </c>
    </row>
    <row r="265" spans="1:11" ht="23.25" customHeight="1">
      <c r="A265" s="1195" t="s">
        <v>152</v>
      </c>
      <c r="B265" s="1195"/>
      <c r="C265" s="116" t="s">
        <v>153</v>
      </c>
      <c r="D265" s="15" t="s">
        <v>100</v>
      </c>
      <c r="E265" s="280">
        <v>922</v>
      </c>
      <c r="F265" s="280">
        <v>2360</v>
      </c>
      <c r="G265" s="280">
        <v>1300</v>
      </c>
      <c r="H265" s="282"/>
      <c r="I265" s="280">
        <v>900</v>
      </c>
      <c r="J265" s="280">
        <v>2520</v>
      </c>
      <c r="K265" s="280">
        <v>1300</v>
      </c>
    </row>
    <row r="266" spans="1:11" ht="23.25" customHeight="1">
      <c r="A266" s="1196" t="s">
        <v>154</v>
      </c>
      <c r="B266" s="1196"/>
      <c r="C266" s="116" t="s">
        <v>101</v>
      </c>
      <c r="D266" s="1284" t="s">
        <v>653</v>
      </c>
      <c r="E266" s="282">
        <v>7</v>
      </c>
      <c r="F266" s="282">
        <v>8.5</v>
      </c>
      <c r="G266" s="281">
        <v>8.15</v>
      </c>
      <c r="H266" s="281"/>
      <c r="I266" s="282">
        <v>7.3</v>
      </c>
      <c r="J266" s="282">
        <v>8.5</v>
      </c>
      <c r="K266" s="282">
        <v>8.1</v>
      </c>
    </row>
    <row r="267" spans="1:11" ht="23.25" customHeight="1">
      <c r="A267" s="1196" t="s">
        <v>155</v>
      </c>
      <c r="B267" s="1196"/>
      <c r="C267" s="116" t="s">
        <v>156</v>
      </c>
      <c r="D267" s="15" t="s">
        <v>100</v>
      </c>
      <c r="E267" s="286">
        <v>249</v>
      </c>
      <c r="F267" s="286">
        <v>589</v>
      </c>
      <c r="G267" s="286">
        <v>374</v>
      </c>
      <c r="H267" s="281"/>
      <c r="I267" s="280">
        <v>294</v>
      </c>
      <c r="J267" s="280">
        <v>590</v>
      </c>
      <c r="K267" s="280">
        <v>364</v>
      </c>
    </row>
    <row r="268" spans="1:11" ht="23.25" customHeight="1">
      <c r="A268" s="1196" t="s">
        <v>157</v>
      </c>
      <c r="B268" s="1196"/>
      <c r="C268" s="116" t="s">
        <v>158</v>
      </c>
      <c r="D268" s="15" t="s">
        <v>100</v>
      </c>
      <c r="E268" s="280">
        <v>70</v>
      </c>
      <c r="F268" s="280">
        <v>165</v>
      </c>
      <c r="G268" s="280">
        <v>104</v>
      </c>
      <c r="H268" s="284"/>
      <c r="I268" s="280">
        <v>72</v>
      </c>
      <c r="J268" s="280">
        <v>171</v>
      </c>
      <c r="K268" s="280">
        <v>104</v>
      </c>
    </row>
    <row r="269" spans="1:11" ht="23.25" customHeight="1">
      <c r="A269" s="1196" t="s">
        <v>159</v>
      </c>
      <c r="B269" s="1196"/>
      <c r="C269" s="116" t="s">
        <v>160</v>
      </c>
      <c r="D269" s="15" t="s">
        <v>100</v>
      </c>
      <c r="E269" s="280">
        <v>12</v>
      </c>
      <c r="F269" s="280">
        <v>98</v>
      </c>
      <c r="G269" s="280">
        <v>58</v>
      </c>
      <c r="H269" s="282"/>
      <c r="I269" s="280">
        <v>11</v>
      </c>
      <c r="J269" s="280">
        <v>101</v>
      </c>
      <c r="K269" s="280">
        <v>58</v>
      </c>
    </row>
    <row r="270" spans="1:11" ht="23.25" customHeight="1">
      <c r="A270" s="1196" t="s">
        <v>161</v>
      </c>
      <c r="B270" s="1196"/>
      <c r="C270" s="117" t="s">
        <v>162</v>
      </c>
      <c r="D270" s="118" t="s">
        <v>113</v>
      </c>
      <c r="E270" s="280">
        <v>1559</v>
      </c>
      <c r="F270" s="280">
        <v>3950</v>
      </c>
      <c r="G270" s="280">
        <v>2111</v>
      </c>
      <c r="H270" s="285"/>
      <c r="I270" s="286">
        <v>1543</v>
      </c>
      <c r="J270" s="286">
        <v>4080</v>
      </c>
      <c r="K270" s="286">
        <v>2111</v>
      </c>
    </row>
    <row r="271" spans="1:11" ht="23.25" customHeight="1">
      <c r="A271" s="1197" t="s">
        <v>163</v>
      </c>
      <c r="B271" s="1197"/>
      <c r="C271" s="116" t="s">
        <v>164</v>
      </c>
      <c r="D271" s="15" t="s">
        <v>100</v>
      </c>
      <c r="E271" s="116">
        <v>0</v>
      </c>
      <c r="F271" s="116">
        <v>0</v>
      </c>
      <c r="G271" s="116">
        <v>0</v>
      </c>
      <c r="H271" s="116">
        <v>0</v>
      </c>
      <c r="I271" s="116">
        <v>0</v>
      </c>
      <c r="J271" s="116">
        <v>0</v>
      </c>
      <c r="K271" s="116">
        <v>0</v>
      </c>
    </row>
    <row r="272" spans="1:11" ht="23.25" customHeight="1">
      <c r="A272" s="1197" t="s">
        <v>165</v>
      </c>
      <c r="B272" s="1197"/>
      <c r="C272" s="116" t="s">
        <v>166</v>
      </c>
      <c r="D272" s="15" t="s">
        <v>100</v>
      </c>
      <c r="E272" s="116">
        <v>0</v>
      </c>
      <c r="F272" s="116">
        <v>0</v>
      </c>
      <c r="G272" s="116">
        <v>0</v>
      </c>
      <c r="H272" s="116">
        <v>0</v>
      </c>
      <c r="I272" s="116">
        <v>0</v>
      </c>
      <c r="J272" s="116">
        <v>0</v>
      </c>
      <c r="K272" s="116">
        <v>0</v>
      </c>
    </row>
    <row r="273" spans="1:11" ht="23.25" customHeight="1" thickBot="1">
      <c r="A273" s="1198" t="s">
        <v>167</v>
      </c>
      <c r="B273" s="1198"/>
      <c r="C273" s="119" t="s">
        <v>168</v>
      </c>
      <c r="D273" s="120" t="s">
        <v>100</v>
      </c>
      <c r="E273" s="288">
        <v>241</v>
      </c>
      <c r="F273" s="288">
        <v>649</v>
      </c>
      <c r="G273" s="288">
        <v>378</v>
      </c>
      <c r="H273" s="289"/>
      <c r="I273" s="119">
        <v>260</v>
      </c>
      <c r="J273" s="300">
        <v>691</v>
      </c>
      <c r="K273" s="288">
        <v>378</v>
      </c>
    </row>
    <row r="274" spans="1:11" ht="23.25" customHeight="1" thickTop="1">
      <c r="A274" s="481"/>
      <c r="B274" s="489"/>
      <c r="C274" s="489"/>
      <c r="D274" s="489"/>
      <c r="E274" s="86"/>
      <c r="F274" s="86"/>
      <c r="G274" s="86"/>
      <c r="H274" s="86"/>
      <c r="I274" s="86"/>
      <c r="J274" s="86"/>
      <c r="K274" s="136" t="s">
        <v>74</v>
      </c>
    </row>
    <row r="275" spans="1:11" ht="23.25" customHeight="1">
      <c r="A275" s="1135" t="s">
        <v>445</v>
      </c>
      <c r="B275" s="1135"/>
      <c r="C275" s="1135"/>
      <c r="D275" s="1135"/>
      <c r="E275" s="1135"/>
      <c r="F275" s="1135"/>
      <c r="G275" s="1135"/>
      <c r="H275" s="1135"/>
      <c r="I275" s="1135"/>
      <c r="J275" s="1135"/>
    </row>
    <row r="276" spans="1:11" ht="22.5" customHeight="1">
      <c r="A276" s="599"/>
      <c r="B276" s="599"/>
      <c r="C276" s="599"/>
      <c r="D276" s="599"/>
      <c r="E276" s="599"/>
      <c r="F276" s="599"/>
      <c r="G276" s="599"/>
      <c r="H276" s="599"/>
      <c r="I276" s="599"/>
      <c r="J276" s="599"/>
    </row>
    <row r="277" spans="1:11" ht="23.25" customHeight="1">
      <c r="A277" s="542"/>
      <c r="B277" s="542"/>
      <c r="C277" s="542"/>
      <c r="D277" s="542"/>
      <c r="E277" s="542"/>
      <c r="F277" s="542"/>
      <c r="G277" s="542"/>
      <c r="H277" s="542"/>
      <c r="I277" s="542"/>
      <c r="J277" s="542"/>
    </row>
    <row r="278" spans="1:11" ht="23.25" customHeight="1">
      <c r="A278" s="514" t="s">
        <v>204</v>
      </c>
      <c r="B278" s="514"/>
      <c r="C278" s="514"/>
      <c r="D278" s="514"/>
      <c r="E278" s="514"/>
      <c r="F278" s="514"/>
      <c r="G278" s="138"/>
      <c r="H278" s="138"/>
      <c r="I278" s="138"/>
      <c r="J278" s="138"/>
      <c r="K278" s="429">
        <v>54</v>
      </c>
    </row>
    <row r="279" spans="1:11" ht="23.25" customHeight="1">
      <c r="A279" s="1118" t="s">
        <v>530</v>
      </c>
      <c r="B279" s="1118"/>
      <c r="C279" s="1118"/>
      <c r="D279" s="1118"/>
      <c r="E279" s="1118"/>
      <c r="F279" s="1118"/>
      <c r="G279" s="1118"/>
      <c r="H279" s="1118"/>
      <c r="I279" s="1118"/>
      <c r="J279" s="1118"/>
      <c r="K279" s="1118"/>
    </row>
    <row r="280" spans="1:11" ht="23.25" customHeight="1">
      <c r="A280" s="1118" t="s">
        <v>70</v>
      </c>
      <c r="B280" s="1118"/>
      <c r="C280" s="1118"/>
      <c r="D280" s="1118"/>
      <c r="E280" s="1118"/>
      <c r="F280" s="1118"/>
      <c r="G280" s="1118"/>
      <c r="H280" s="1118"/>
      <c r="I280" s="1118"/>
      <c r="J280" s="1118"/>
      <c r="K280" s="1118"/>
    </row>
    <row r="281" spans="1:11" ht="23.25" customHeight="1" thickBot="1">
      <c r="A281" s="1110" t="s">
        <v>383</v>
      </c>
      <c r="B281" s="1110"/>
      <c r="C281" s="1110"/>
      <c r="D281" s="1110"/>
      <c r="E281" s="1110"/>
      <c r="F281" s="1110"/>
      <c r="G281" s="1110"/>
      <c r="H281" s="1110"/>
      <c r="I281" s="1110"/>
      <c r="J281" s="1110"/>
      <c r="K281" s="1110"/>
    </row>
    <row r="282" spans="1:11" ht="23.25" customHeight="1" thickTop="1">
      <c r="A282" s="1116" t="s">
        <v>178</v>
      </c>
      <c r="B282" s="1116"/>
      <c r="C282" s="515"/>
      <c r="D282" s="1116" t="s">
        <v>147</v>
      </c>
      <c r="E282" s="1111" t="s">
        <v>244</v>
      </c>
      <c r="F282" s="1111"/>
      <c r="G282" s="1111"/>
      <c r="H282" s="517"/>
      <c r="I282" s="1111" t="s">
        <v>92</v>
      </c>
      <c r="J282" s="1111"/>
      <c r="K282" s="1111"/>
    </row>
    <row r="283" spans="1:11" ht="23.25" customHeight="1">
      <c r="A283" s="1190"/>
      <c r="B283" s="1190"/>
      <c r="C283" s="518"/>
      <c r="D283" s="1190"/>
      <c r="E283" s="162" t="s">
        <v>79</v>
      </c>
      <c r="F283" s="162" t="s">
        <v>80</v>
      </c>
      <c r="G283" s="162" t="s">
        <v>93</v>
      </c>
      <c r="H283" s="159"/>
      <c r="I283" s="162" t="s">
        <v>79</v>
      </c>
      <c r="J283" s="162" t="s">
        <v>80</v>
      </c>
      <c r="K283" s="162" t="s">
        <v>93</v>
      </c>
    </row>
    <row r="284" spans="1:11" ht="23.25" customHeight="1">
      <c r="A284" s="1199" t="s">
        <v>99</v>
      </c>
      <c r="B284" s="1199"/>
      <c r="C284" s="115" t="s">
        <v>148</v>
      </c>
      <c r="D284" s="255" t="s">
        <v>100</v>
      </c>
      <c r="E284" s="276">
        <v>2.6</v>
      </c>
      <c r="F284" s="275">
        <v>114</v>
      </c>
      <c r="G284" s="274">
        <v>19.940000000000001</v>
      </c>
      <c r="H284" s="274"/>
      <c r="I284" s="116">
        <v>1.1000000000000001</v>
      </c>
      <c r="J284" s="295">
        <v>23.9</v>
      </c>
      <c r="K284" s="116">
        <v>5.41</v>
      </c>
    </row>
    <row r="285" spans="1:11" ht="23.25" customHeight="1">
      <c r="A285" s="1196" t="s">
        <v>149</v>
      </c>
      <c r="B285" s="1196"/>
      <c r="C285" s="116" t="s">
        <v>150</v>
      </c>
      <c r="D285" s="15" t="s">
        <v>100</v>
      </c>
      <c r="E285" s="273">
        <v>336</v>
      </c>
      <c r="F285" s="273">
        <v>3660</v>
      </c>
      <c r="G285" s="273">
        <v>765</v>
      </c>
      <c r="H285" s="273"/>
      <c r="I285" s="116">
        <v>332</v>
      </c>
      <c r="J285" s="273">
        <v>3712</v>
      </c>
      <c r="K285" s="116">
        <v>731</v>
      </c>
    </row>
    <row r="286" spans="1:11" ht="23.25" customHeight="1">
      <c r="A286" s="1196" t="s">
        <v>102</v>
      </c>
      <c r="B286" s="1196"/>
      <c r="C286" s="116" t="s">
        <v>151</v>
      </c>
      <c r="D286" s="15" t="s">
        <v>100</v>
      </c>
      <c r="E286" s="116">
        <v>88</v>
      </c>
      <c r="F286" s="116">
        <v>240</v>
      </c>
      <c r="G286" s="116">
        <v>148</v>
      </c>
      <c r="H286" s="116"/>
      <c r="I286" s="272">
        <v>80</v>
      </c>
      <c r="J286" s="272">
        <v>226</v>
      </c>
      <c r="K286" s="272">
        <v>142</v>
      </c>
    </row>
    <row r="287" spans="1:11" ht="23.25" customHeight="1">
      <c r="A287" s="1195" t="s">
        <v>152</v>
      </c>
      <c r="B287" s="1195"/>
      <c r="C287" s="116" t="s">
        <v>153</v>
      </c>
      <c r="D287" s="15" t="s">
        <v>100</v>
      </c>
      <c r="E287" s="273">
        <v>610</v>
      </c>
      <c r="F287" s="273">
        <v>18030</v>
      </c>
      <c r="G287" s="273">
        <v>2382</v>
      </c>
      <c r="H287" s="273"/>
      <c r="I287" s="116">
        <v>594</v>
      </c>
      <c r="J287" s="273">
        <v>18290</v>
      </c>
      <c r="K287" s="273">
        <v>2342</v>
      </c>
    </row>
    <row r="288" spans="1:11" ht="23.25" customHeight="1">
      <c r="A288" s="1196" t="s">
        <v>154</v>
      </c>
      <c r="B288" s="1196"/>
      <c r="C288" s="116" t="s">
        <v>101</v>
      </c>
      <c r="D288" s="1284" t="s">
        <v>653</v>
      </c>
      <c r="E288" s="296">
        <v>7.22</v>
      </c>
      <c r="F288" s="296">
        <v>8.51</v>
      </c>
      <c r="G288" s="296">
        <v>7.86</v>
      </c>
      <c r="H288" s="296"/>
      <c r="I288" s="116">
        <v>7.04</v>
      </c>
      <c r="J288" s="116">
        <v>8.43</v>
      </c>
      <c r="K288" s="116">
        <v>7.6</v>
      </c>
    </row>
    <row r="289" spans="1:11" ht="23.25" customHeight="1">
      <c r="A289" s="1196" t="s">
        <v>155</v>
      </c>
      <c r="B289" s="1196"/>
      <c r="C289" s="116" t="s">
        <v>156</v>
      </c>
      <c r="D289" s="15" t="s">
        <v>100</v>
      </c>
      <c r="E289" s="273">
        <v>123</v>
      </c>
      <c r="F289" s="273">
        <v>9165</v>
      </c>
      <c r="G289" s="273">
        <v>882</v>
      </c>
      <c r="H289" s="273"/>
      <c r="I289" s="116">
        <v>136</v>
      </c>
      <c r="J289" s="273">
        <v>9400</v>
      </c>
      <c r="K289" s="116">
        <v>868</v>
      </c>
    </row>
    <row r="290" spans="1:11" ht="23.25" customHeight="1">
      <c r="A290" s="1196" t="s">
        <v>157</v>
      </c>
      <c r="B290" s="1196"/>
      <c r="C290" s="116" t="s">
        <v>158</v>
      </c>
      <c r="D290" s="15" t="s">
        <v>100</v>
      </c>
      <c r="E290" s="301">
        <v>67</v>
      </c>
      <c r="F290" s="392">
        <v>739</v>
      </c>
      <c r="G290" s="301">
        <v>155</v>
      </c>
      <c r="H290" s="116"/>
      <c r="I290" s="273">
        <v>66</v>
      </c>
      <c r="J290" s="273">
        <v>749</v>
      </c>
      <c r="K290" s="273">
        <v>155</v>
      </c>
    </row>
    <row r="291" spans="1:11" ht="23.25" customHeight="1">
      <c r="A291" s="1196" t="s">
        <v>159</v>
      </c>
      <c r="B291" s="1196"/>
      <c r="C291" s="116" t="s">
        <v>160</v>
      </c>
      <c r="D291" s="15" t="s">
        <v>100</v>
      </c>
      <c r="E291" s="116">
        <v>26</v>
      </c>
      <c r="F291" s="116">
        <v>442</v>
      </c>
      <c r="G291" s="116">
        <v>92</v>
      </c>
      <c r="H291" s="116"/>
      <c r="I291" s="273">
        <v>23</v>
      </c>
      <c r="J291" s="273">
        <v>449</v>
      </c>
      <c r="K291" s="273">
        <v>91</v>
      </c>
    </row>
    <row r="292" spans="1:11" ht="23.25" customHeight="1">
      <c r="A292" s="1196" t="s">
        <v>161</v>
      </c>
      <c r="B292" s="1196"/>
      <c r="C292" s="117" t="s">
        <v>162</v>
      </c>
      <c r="D292" s="118" t="s">
        <v>113</v>
      </c>
      <c r="E292" s="273">
        <v>989</v>
      </c>
      <c r="F292" s="273">
        <v>27317</v>
      </c>
      <c r="G292" s="273">
        <v>3771</v>
      </c>
      <c r="H292" s="272"/>
      <c r="I292" s="273">
        <v>991</v>
      </c>
      <c r="J292" s="273">
        <v>27708</v>
      </c>
      <c r="K292" s="273">
        <v>3715</v>
      </c>
    </row>
    <row r="293" spans="1:11" ht="23.25" customHeight="1">
      <c r="A293" s="1197" t="s">
        <v>163</v>
      </c>
      <c r="B293" s="1197"/>
      <c r="C293" s="116" t="s">
        <v>164</v>
      </c>
      <c r="D293" s="15" t="s">
        <v>100</v>
      </c>
      <c r="E293" s="116">
        <v>64</v>
      </c>
      <c r="F293" s="273">
        <v>5955</v>
      </c>
      <c r="G293" s="273">
        <v>565</v>
      </c>
      <c r="H293" s="273"/>
      <c r="I293" s="273">
        <v>70</v>
      </c>
      <c r="J293" s="273">
        <v>6108</v>
      </c>
      <c r="K293" s="273">
        <v>554</v>
      </c>
    </row>
    <row r="294" spans="1:11" ht="23.25" customHeight="1">
      <c r="A294" s="1197" t="s">
        <v>165</v>
      </c>
      <c r="B294" s="1197"/>
      <c r="C294" s="116" t="s">
        <v>166</v>
      </c>
      <c r="D294" s="15" t="s">
        <v>100</v>
      </c>
      <c r="E294" s="116">
        <v>2.2999999999999998</v>
      </c>
      <c r="F294" s="299">
        <v>19</v>
      </c>
      <c r="G294" s="732">
        <v>6.8</v>
      </c>
      <c r="H294" s="296"/>
      <c r="I294" s="272">
        <v>2</v>
      </c>
      <c r="J294" s="522">
        <v>19.8</v>
      </c>
      <c r="K294" s="521">
        <v>6.7</v>
      </c>
    </row>
    <row r="295" spans="1:11" ht="23.25" customHeight="1" thickBot="1">
      <c r="A295" s="1198" t="s">
        <v>167</v>
      </c>
      <c r="B295" s="1198"/>
      <c r="C295" s="119" t="s">
        <v>168</v>
      </c>
      <c r="D295" s="120" t="s">
        <v>100</v>
      </c>
      <c r="E295" s="119">
        <v>207</v>
      </c>
      <c r="F295" s="300">
        <v>3460</v>
      </c>
      <c r="G295" s="300">
        <v>572</v>
      </c>
      <c r="H295" s="300"/>
      <c r="I295" s="300">
        <v>157</v>
      </c>
      <c r="J295" s="300">
        <v>3507</v>
      </c>
      <c r="K295" s="300">
        <v>567</v>
      </c>
    </row>
    <row r="296" spans="1:11" ht="23.25" customHeight="1" thickTop="1">
      <c r="A296" s="1112" t="s">
        <v>445</v>
      </c>
      <c r="B296" s="1112"/>
      <c r="C296" s="1112"/>
      <c r="D296" s="1112"/>
      <c r="E296" s="1112"/>
      <c r="F296" s="1112"/>
      <c r="G296" s="1112"/>
      <c r="H296" s="1112"/>
      <c r="I296" s="1112"/>
      <c r="J296" s="102"/>
      <c r="K296" s="104"/>
    </row>
    <row r="297" spans="1:11" ht="23.25" customHeight="1">
      <c r="A297" s="483"/>
      <c r="B297" s="483"/>
      <c r="C297" s="483"/>
      <c r="D297" s="483"/>
      <c r="E297" s="483"/>
      <c r="F297" s="483"/>
      <c r="G297" s="483"/>
      <c r="H297" s="483"/>
      <c r="I297" s="483"/>
      <c r="J297" s="483"/>
      <c r="K297" s="483"/>
    </row>
    <row r="298" spans="1:11" ht="23.25" customHeight="1">
      <c r="A298" s="483"/>
      <c r="B298" s="483"/>
      <c r="C298" s="483"/>
      <c r="D298" s="483"/>
      <c r="E298" s="483"/>
      <c r="F298" s="483"/>
      <c r="G298" s="483"/>
      <c r="H298" s="483"/>
      <c r="I298" s="483"/>
      <c r="J298" s="483"/>
      <c r="K298" s="483"/>
    </row>
    <row r="299" spans="1:11" ht="23.25" customHeight="1">
      <c r="A299" s="516"/>
      <c r="B299" s="516"/>
      <c r="C299" s="516"/>
      <c r="D299" s="516"/>
      <c r="E299" s="516"/>
      <c r="F299" s="516"/>
      <c r="G299" s="516"/>
      <c r="H299" s="516"/>
      <c r="I299" s="516"/>
      <c r="J299" s="516"/>
      <c r="K299" s="516"/>
    </row>
    <row r="300" spans="1:11" ht="23.25" customHeight="1">
      <c r="A300" s="484"/>
      <c r="B300" s="484"/>
      <c r="C300" s="484"/>
      <c r="D300" s="485"/>
      <c r="E300" s="485"/>
      <c r="F300" s="485"/>
      <c r="G300" s="485"/>
      <c r="H300" s="485"/>
      <c r="I300" s="485"/>
      <c r="J300" s="485"/>
      <c r="K300" s="485"/>
    </row>
    <row r="301" spans="1:11" ht="23.25" customHeight="1">
      <c r="A301" s="484"/>
      <c r="B301" s="484"/>
      <c r="C301" s="484"/>
      <c r="D301" s="485"/>
      <c r="E301" s="201"/>
      <c r="F301" s="201"/>
      <c r="G301" s="201"/>
      <c r="H301" s="201"/>
      <c r="I301" s="201"/>
      <c r="J301" s="201"/>
      <c r="K301" s="201"/>
    </row>
    <row r="302" spans="1:11" ht="23.25" customHeight="1">
      <c r="A302" s="487"/>
      <c r="B302" s="487"/>
      <c r="C302" s="202"/>
      <c r="D302" s="17"/>
      <c r="E302" s="203"/>
      <c r="F302" s="203"/>
      <c r="G302" s="203"/>
      <c r="H302" s="203"/>
      <c r="I302" s="203"/>
      <c r="J302" s="203"/>
      <c r="K302" s="203"/>
    </row>
    <row r="303" spans="1:11" ht="23.25" customHeight="1">
      <c r="A303" s="487"/>
      <c r="B303" s="487"/>
      <c r="C303" s="202"/>
      <c r="D303" s="17"/>
      <c r="E303" s="203"/>
      <c r="F303" s="203"/>
      <c r="G303" s="203"/>
      <c r="H303" s="203"/>
      <c r="I303" s="203"/>
      <c r="J303" s="203"/>
      <c r="K303" s="203"/>
    </row>
    <row r="304" spans="1:11" ht="23.25" customHeight="1">
      <c r="A304" s="487"/>
      <c r="B304" s="487"/>
      <c r="C304" s="202"/>
      <c r="D304" s="17"/>
      <c r="E304" s="203"/>
      <c r="F304" s="203"/>
      <c r="G304" s="203"/>
      <c r="H304" s="203"/>
      <c r="I304" s="203"/>
      <c r="J304" s="203"/>
      <c r="K304" s="203"/>
    </row>
    <row r="305" spans="1:11" ht="23.25" customHeight="1">
      <c r="A305" s="488"/>
      <c r="B305" s="488"/>
      <c r="C305" s="202"/>
      <c r="D305" s="17"/>
      <c r="E305" s="203"/>
      <c r="F305" s="203"/>
      <c r="G305" s="203"/>
      <c r="H305" s="203"/>
      <c r="I305" s="203"/>
      <c r="J305" s="203"/>
      <c r="K305" s="203"/>
    </row>
    <row r="306" spans="1:11" ht="23.25" customHeight="1">
      <c r="A306" s="487"/>
      <c r="B306" s="487"/>
      <c r="C306" s="202"/>
      <c r="D306" s="17"/>
      <c r="E306" s="203"/>
      <c r="F306" s="203"/>
      <c r="G306" s="203"/>
      <c r="H306" s="203"/>
      <c r="I306" s="203"/>
      <c r="J306" s="203"/>
      <c r="K306" s="203"/>
    </row>
    <row r="307" spans="1:11" ht="23.25" customHeight="1">
      <c r="A307" s="487"/>
      <c r="B307" s="487"/>
      <c r="C307" s="202"/>
      <c r="D307" s="17"/>
      <c r="E307" s="203"/>
      <c r="F307" s="203"/>
      <c r="G307" s="203"/>
      <c r="H307" s="203"/>
      <c r="I307" s="203"/>
      <c r="J307" s="203"/>
      <c r="K307" s="203"/>
    </row>
    <row r="308" spans="1:11" ht="23.25" customHeight="1">
      <c r="A308" s="487"/>
      <c r="B308" s="487"/>
      <c r="C308" s="202"/>
      <c r="D308" s="17"/>
      <c r="E308" s="203"/>
      <c r="F308" s="203"/>
      <c r="G308" s="203"/>
      <c r="H308" s="203"/>
      <c r="I308" s="203"/>
      <c r="J308" s="203"/>
      <c r="K308" s="203"/>
    </row>
    <row r="309" spans="1:11" ht="23.25" customHeight="1">
      <c r="A309" s="487"/>
      <c r="B309" s="487"/>
      <c r="C309" s="202"/>
      <c r="D309" s="17"/>
      <c r="E309" s="203"/>
      <c r="F309" s="203"/>
      <c r="G309" s="203"/>
      <c r="H309" s="203"/>
      <c r="I309" s="203"/>
      <c r="J309" s="203"/>
      <c r="K309" s="203"/>
    </row>
    <row r="310" spans="1:11" ht="23.25" customHeight="1">
      <c r="A310" s="487"/>
      <c r="B310" s="487"/>
      <c r="C310" s="202"/>
      <c r="D310" s="17"/>
      <c r="E310" s="203"/>
      <c r="F310" s="203"/>
      <c r="G310" s="203"/>
      <c r="H310" s="203"/>
      <c r="I310" s="203"/>
      <c r="J310" s="203"/>
      <c r="K310" s="203"/>
    </row>
    <row r="311" spans="1:11" ht="23.25" customHeight="1">
      <c r="A311" s="486"/>
      <c r="B311" s="486"/>
      <c r="C311" s="202"/>
      <c r="D311" s="17"/>
      <c r="E311" s="203"/>
      <c r="F311" s="203"/>
      <c r="G311" s="203"/>
      <c r="H311" s="203"/>
      <c r="I311" s="203"/>
      <c r="J311" s="203"/>
      <c r="K311" s="203"/>
    </row>
    <row r="312" spans="1:11" ht="23.25" customHeight="1">
      <c r="A312" s="486"/>
      <c r="B312" s="486"/>
      <c r="C312" s="202"/>
      <c r="D312" s="17"/>
      <c r="E312" s="203"/>
      <c r="F312" s="203"/>
      <c r="G312" s="203"/>
      <c r="H312" s="203"/>
      <c r="I312" s="203"/>
      <c r="J312" s="203"/>
      <c r="K312" s="203"/>
    </row>
    <row r="313" spans="1:11" ht="23.25" customHeight="1">
      <c r="A313" s="486"/>
      <c r="B313" s="486"/>
      <c r="C313" s="202"/>
      <c r="D313" s="17"/>
      <c r="E313" s="203"/>
      <c r="F313" s="203"/>
      <c r="G313" s="203"/>
      <c r="H313" s="203"/>
      <c r="I313" s="203"/>
      <c r="J313" s="203"/>
      <c r="K313" s="203"/>
    </row>
    <row r="314" spans="1:11" ht="23.25" customHeight="1">
      <c r="A314" s="486"/>
      <c r="B314" s="486"/>
      <c r="C314" s="202"/>
      <c r="D314" s="17"/>
      <c r="E314" s="203"/>
      <c r="F314" s="203"/>
      <c r="G314" s="203"/>
      <c r="H314" s="203"/>
      <c r="I314" s="203"/>
      <c r="J314" s="203"/>
      <c r="K314" s="203"/>
    </row>
    <row r="315" spans="1:11" ht="23.25" customHeight="1">
      <c r="A315" s="486"/>
      <c r="B315" s="486"/>
      <c r="C315" s="105"/>
      <c r="D315" s="106"/>
      <c r="E315" s="86"/>
      <c r="F315" s="86"/>
      <c r="G315" s="86"/>
      <c r="H315" s="86"/>
      <c r="I315" s="86"/>
      <c r="J315" s="86"/>
      <c r="K315" s="204"/>
    </row>
    <row r="316" spans="1:11" ht="23.25" customHeight="1">
      <c r="J316" s="519"/>
    </row>
    <row r="317" spans="1:11" ht="23.25" customHeight="1">
      <c r="A317" s="514" t="s">
        <v>204</v>
      </c>
      <c r="B317" s="514"/>
      <c r="C317" s="514"/>
      <c r="D317" s="514"/>
      <c r="E317" s="514"/>
      <c r="F317" s="514"/>
      <c r="G317" s="138"/>
      <c r="H317" s="138"/>
      <c r="I317" s="138"/>
      <c r="J317" s="138"/>
      <c r="K317" s="429">
        <v>55</v>
      </c>
    </row>
  </sheetData>
  <mergeCells count="292">
    <mergeCell ref="A75:F75"/>
    <mergeCell ref="A154:F154"/>
    <mergeCell ref="A68:B68"/>
    <mergeCell ref="A69:B69"/>
    <mergeCell ref="A70:B70"/>
    <mergeCell ref="A71:B71"/>
    <mergeCell ref="A72:B72"/>
    <mergeCell ref="A73:B73"/>
    <mergeCell ref="A74:B74"/>
    <mergeCell ref="A132:B132"/>
    <mergeCell ref="A133:B133"/>
    <mergeCell ref="A134:B134"/>
    <mergeCell ref="A135:B135"/>
    <mergeCell ref="A104:B104"/>
    <mergeCell ref="A105:B105"/>
    <mergeCell ref="A106:B106"/>
    <mergeCell ref="A107:B107"/>
    <mergeCell ref="A108:B108"/>
    <mergeCell ref="A112:B112"/>
    <mergeCell ref="A124:B124"/>
    <mergeCell ref="A125:B125"/>
    <mergeCell ref="A126:B126"/>
    <mergeCell ref="A127:B127"/>
    <mergeCell ref="A128:B128"/>
    <mergeCell ref="A61:B62"/>
    <mergeCell ref="D61:D62"/>
    <mergeCell ref="E61:G61"/>
    <mergeCell ref="I61:K61"/>
    <mergeCell ref="A63:B63"/>
    <mergeCell ref="A64:B64"/>
    <mergeCell ref="A65:B65"/>
    <mergeCell ref="A66:B66"/>
    <mergeCell ref="A67:B67"/>
    <mergeCell ref="A40:K40"/>
    <mergeCell ref="A41:K41"/>
    <mergeCell ref="A42:K42"/>
    <mergeCell ref="A43:B44"/>
    <mergeCell ref="D43:D44"/>
    <mergeCell ref="E43:G43"/>
    <mergeCell ref="I43:K43"/>
    <mergeCell ref="A45:B45"/>
    <mergeCell ref="A46:B46"/>
    <mergeCell ref="A47:B47"/>
    <mergeCell ref="A48:B48"/>
    <mergeCell ref="A49:B49"/>
    <mergeCell ref="A50:B50"/>
    <mergeCell ref="A51:B51"/>
    <mergeCell ref="A52:B52"/>
    <mergeCell ref="A53:B53"/>
    <mergeCell ref="A54:B54"/>
    <mergeCell ref="A55:B55"/>
    <mergeCell ref="A56:B56"/>
    <mergeCell ref="A58:K58"/>
    <mergeCell ref="A59:K59"/>
    <mergeCell ref="A60:K60"/>
    <mergeCell ref="A36:J36"/>
    <mergeCell ref="A114:J114"/>
    <mergeCell ref="A194:J194"/>
    <mergeCell ref="A234:J234"/>
    <mergeCell ref="A139:K139"/>
    <mergeCell ref="A120:K120"/>
    <mergeCell ref="A138:K138"/>
    <mergeCell ref="A160:K160"/>
    <mergeCell ref="A159:K159"/>
    <mergeCell ref="A161:K161"/>
    <mergeCell ref="A137:K137"/>
    <mergeCell ref="A102:B102"/>
    <mergeCell ref="A103:B103"/>
    <mergeCell ref="A100:B101"/>
    <mergeCell ref="A145:B145"/>
    <mergeCell ref="A146:B146"/>
    <mergeCell ref="A109:B109"/>
    <mergeCell ref="A110:B110"/>
    <mergeCell ref="A111:B111"/>
    <mergeCell ref="A200:K200"/>
    <mergeCell ref="A275:J275"/>
    <mergeCell ref="A97:K97"/>
    <mergeCell ref="A21:K21"/>
    <mergeCell ref="A24:B24"/>
    <mergeCell ref="A25:B25"/>
    <mergeCell ref="A26:B26"/>
    <mergeCell ref="A32:B32"/>
    <mergeCell ref="A33:B33"/>
    <mergeCell ref="A34:B34"/>
    <mergeCell ref="A35:B35"/>
    <mergeCell ref="A27:B27"/>
    <mergeCell ref="A28:B28"/>
    <mergeCell ref="A29:B29"/>
    <mergeCell ref="A30:B30"/>
    <mergeCell ref="A31:B31"/>
    <mergeCell ref="A80:K80"/>
    <mergeCell ref="A98:K98"/>
    <mergeCell ref="A99:K99"/>
    <mergeCell ref="A257:K257"/>
    <mergeCell ref="A217:K217"/>
    <mergeCell ref="A219:K219"/>
    <mergeCell ref="A119:K119"/>
    <mergeCell ref="A121:K121"/>
    <mergeCell ref="A259:K259"/>
    <mergeCell ref="A1:K1"/>
    <mergeCell ref="A3:K3"/>
    <mergeCell ref="A19:K19"/>
    <mergeCell ref="A2:K2"/>
    <mergeCell ref="A20:K20"/>
    <mergeCell ref="A16:B16"/>
    <mergeCell ref="A4:B5"/>
    <mergeCell ref="D4:D5"/>
    <mergeCell ref="E4:G4"/>
    <mergeCell ref="I4:K4"/>
    <mergeCell ref="A6:B6"/>
    <mergeCell ref="A7:B7"/>
    <mergeCell ref="A8:B8"/>
    <mergeCell ref="A9:B9"/>
    <mergeCell ref="A10:B10"/>
    <mergeCell ref="A240:K240"/>
    <mergeCell ref="A239:K239"/>
    <mergeCell ref="A241:K241"/>
    <mergeCell ref="A218:K218"/>
    <mergeCell ref="A177:K177"/>
    <mergeCell ref="A179:K179"/>
    <mergeCell ref="A178:K178"/>
    <mergeCell ref="A223:B223"/>
    <mergeCell ref="A224:B224"/>
    <mergeCell ref="A209:B209"/>
    <mergeCell ref="A210:B210"/>
    <mergeCell ref="A211:B211"/>
    <mergeCell ref="A212:B212"/>
    <mergeCell ref="A213:B213"/>
    <mergeCell ref="A204:B204"/>
    <mergeCell ref="A205:B205"/>
    <mergeCell ref="A206:B206"/>
    <mergeCell ref="A207:B207"/>
    <mergeCell ref="A208:B208"/>
    <mergeCell ref="A220:B221"/>
    <mergeCell ref="A190:B190"/>
    <mergeCell ref="A191:B191"/>
    <mergeCell ref="A192:B192"/>
    <mergeCell ref="A189:B189"/>
    <mergeCell ref="A296:I296"/>
    <mergeCell ref="A79:K79"/>
    <mergeCell ref="A81:K81"/>
    <mergeCell ref="A17:B17"/>
    <mergeCell ref="A11:B11"/>
    <mergeCell ref="A12:B12"/>
    <mergeCell ref="A13:B13"/>
    <mergeCell ref="A14:B14"/>
    <mergeCell ref="A15:B15"/>
    <mergeCell ref="A84:B84"/>
    <mergeCell ref="A85:B85"/>
    <mergeCell ref="A86:B86"/>
    <mergeCell ref="A87:B87"/>
    <mergeCell ref="A88:B88"/>
    <mergeCell ref="A89:B89"/>
    <mergeCell ref="A90:B90"/>
    <mergeCell ref="A91:B91"/>
    <mergeCell ref="A92:B92"/>
    <mergeCell ref="A93:B93"/>
    <mergeCell ref="A94:B94"/>
    <mergeCell ref="A95:B95"/>
    <mergeCell ref="A258:K258"/>
    <mergeCell ref="A199:K199"/>
    <mergeCell ref="A201:K201"/>
    <mergeCell ref="A129:B129"/>
    <mergeCell ref="A130:B130"/>
    <mergeCell ref="A131:B131"/>
    <mergeCell ref="A164:B164"/>
    <mergeCell ref="A165:B165"/>
    <mergeCell ref="A166:B166"/>
    <mergeCell ref="A167:B167"/>
    <mergeCell ref="A168:B168"/>
    <mergeCell ref="A142:B142"/>
    <mergeCell ref="A143:B143"/>
    <mergeCell ref="A144:B144"/>
    <mergeCell ref="A147:B147"/>
    <mergeCell ref="A148:B148"/>
    <mergeCell ref="A149:B149"/>
    <mergeCell ref="A169:B169"/>
    <mergeCell ref="A170:B170"/>
    <mergeCell ref="A150:B150"/>
    <mergeCell ref="A151:B151"/>
    <mergeCell ref="A152:B152"/>
    <mergeCell ref="A153:B153"/>
    <mergeCell ref="A193:B193"/>
    <mergeCell ref="A184:B184"/>
    <mergeCell ref="A185:B185"/>
    <mergeCell ref="A186:B186"/>
    <mergeCell ref="A187:B187"/>
    <mergeCell ref="A188:B188"/>
    <mergeCell ref="A180:B181"/>
    <mergeCell ref="A171:B171"/>
    <mergeCell ref="A172:B172"/>
    <mergeCell ref="A173:B173"/>
    <mergeCell ref="A174:B174"/>
    <mergeCell ref="A175:B175"/>
    <mergeCell ref="A182:B182"/>
    <mergeCell ref="A183:B183"/>
    <mergeCell ref="A295:B295"/>
    <mergeCell ref="A267:B267"/>
    <mergeCell ref="A268:B268"/>
    <mergeCell ref="A269:B269"/>
    <mergeCell ref="A270:B270"/>
    <mergeCell ref="A271:B271"/>
    <mergeCell ref="A214:B214"/>
    <mergeCell ref="A215:B215"/>
    <mergeCell ref="A222:B222"/>
    <mergeCell ref="A272:B272"/>
    <mergeCell ref="A273:B273"/>
    <mergeCell ref="A284:B284"/>
    <mergeCell ref="A285:B285"/>
    <mergeCell ref="A286:B286"/>
    <mergeCell ref="A287:B287"/>
    <mergeCell ref="A262:B262"/>
    <mergeCell ref="A263:B263"/>
    <mergeCell ref="A264:B264"/>
    <mergeCell ref="A265:B265"/>
    <mergeCell ref="A266:B266"/>
    <mergeCell ref="A249:B249"/>
    <mergeCell ref="A250:B250"/>
    <mergeCell ref="A251:B251"/>
    <mergeCell ref="A252:B252"/>
    <mergeCell ref="E162:G162"/>
    <mergeCell ref="I162:K162"/>
    <mergeCell ref="A288:B288"/>
    <mergeCell ref="A289:B289"/>
    <mergeCell ref="A290:B290"/>
    <mergeCell ref="A291:B291"/>
    <mergeCell ref="A292:B292"/>
    <mergeCell ref="A293:B293"/>
    <mergeCell ref="A294:B294"/>
    <mergeCell ref="A253:B253"/>
    <mergeCell ref="A254:B254"/>
    <mergeCell ref="A255:B255"/>
    <mergeCell ref="A225:B225"/>
    <mergeCell ref="A226:B226"/>
    <mergeCell ref="A227:B227"/>
    <mergeCell ref="A228:B228"/>
    <mergeCell ref="A229:B229"/>
    <mergeCell ref="A230:B230"/>
    <mergeCell ref="A231:B231"/>
    <mergeCell ref="A232:B232"/>
    <mergeCell ref="A233:B233"/>
    <mergeCell ref="A244:B244"/>
    <mergeCell ref="A245:B245"/>
    <mergeCell ref="A246:B246"/>
    <mergeCell ref="A202:B203"/>
    <mergeCell ref="D202:D203"/>
    <mergeCell ref="E202:G202"/>
    <mergeCell ref="I202:K202"/>
    <mergeCell ref="A242:B243"/>
    <mergeCell ref="D242:D243"/>
    <mergeCell ref="E242:G242"/>
    <mergeCell ref="I242:K242"/>
    <mergeCell ref="A282:B283"/>
    <mergeCell ref="D282:D283"/>
    <mergeCell ref="E282:G282"/>
    <mergeCell ref="I282:K282"/>
    <mergeCell ref="A260:B261"/>
    <mergeCell ref="D260:D261"/>
    <mergeCell ref="E260:G260"/>
    <mergeCell ref="I260:K260"/>
    <mergeCell ref="D220:D221"/>
    <mergeCell ref="E220:G220"/>
    <mergeCell ref="I220:K220"/>
    <mergeCell ref="A247:B247"/>
    <mergeCell ref="A248:B248"/>
    <mergeCell ref="A279:K279"/>
    <mergeCell ref="A281:K281"/>
    <mergeCell ref="A280:K280"/>
    <mergeCell ref="A22:B23"/>
    <mergeCell ref="D22:D23"/>
    <mergeCell ref="E22:G22"/>
    <mergeCell ref="I22:K22"/>
    <mergeCell ref="D180:D181"/>
    <mergeCell ref="E180:G180"/>
    <mergeCell ref="I180:K180"/>
    <mergeCell ref="A140:B141"/>
    <mergeCell ref="D140:D141"/>
    <mergeCell ref="E140:G140"/>
    <mergeCell ref="I140:K140"/>
    <mergeCell ref="D100:D101"/>
    <mergeCell ref="E100:G100"/>
    <mergeCell ref="I100:K100"/>
    <mergeCell ref="A82:B83"/>
    <mergeCell ref="D82:D83"/>
    <mergeCell ref="E82:G82"/>
    <mergeCell ref="I82:K82"/>
    <mergeCell ref="A122:B123"/>
    <mergeCell ref="D122:D123"/>
    <mergeCell ref="E122:G122"/>
    <mergeCell ref="I122:K122"/>
    <mergeCell ref="A162:B163"/>
    <mergeCell ref="D162:D163"/>
  </mergeCells>
  <printOptions horizontalCentered="1"/>
  <pageMargins left="0.70866141732283472" right="0.70866141732283472" top="0.74803149606299213" bottom="0.19685039370078741" header="0.31496062992125984" footer="0.31496062992125984"/>
  <pageSetup paperSize="9" scale="86"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M124"/>
  <sheetViews>
    <sheetView rightToLeft="1" view="pageBreakPreview" topLeftCell="A103" zoomScale="90" zoomScaleNormal="100" zoomScaleSheetLayoutView="90" workbookViewId="0">
      <selection activeCell="L17" sqref="L17"/>
    </sheetView>
  </sheetViews>
  <sheetFormatPr defaultRowHeight="15"/>
  <cols>
    <col min="1" max="1" width="16.42578125" customWidth="1"/>
    <col min="2" max="2" width="19.85546875" customWidth="1"/>
    <col min="3" max="5" width="18.42578125" customWidth="1"/>
    <col min="6" max="6" width="15.5703125" customWidth="1"/>
    <col min="7" max="7" width="15.140625" style="380" customWidth="1"/>
    <col min="8" max="8" width="38.85546875" hidden="1" customWidth="1"/>
  </cols>
  <sheetData>
    <row r="1" spans="1:13" ht="21" customHeight="1">
      <c r="A1" s="1202" t="s">
        <v>545</v>
      </c>
      <c r="B1" s="1202"/>
      <c r="C1" s="1202"/>
      <c r="D1" s="1202"/>
      <c r="E1" s="1202"/>
      <c r="F1" s="1202"/>
      <c r="G1" s="1202"/>
    </row>
    <row r="2" spans="1:13" ht="21" customHeight="1">
      <c r="A2" s="739"/>
      <c r="B2" s="739"/>
      <c r="C2" s="1202" t="s">
        <v>174</v>
      </c>
      <c r="D2" s="1202"/>
      <c r="E2" s="739"/>
      <c r="F2" s="739"/>
      <c r="G2" s="739"/>
    </row>
    <row r="3" spans="1:13" ht="16.5" customHeight="1" thickBot="1">
      <c r="A3" s="613" t="s">
        <v>510</v>
      </c>
      <c r="B3" s="541"/>
      <c r="C3" s="541"/>
      <c r="D3" s="541"/>
      <c r="E3" s="541"/>
      <c r="F3" s="541"/>
      <c r="G3" s="746"/>
    </row>
    <row r="4" spans="1:13" ht="24.75" customHeight="1" thickTop="1">
      <c r="A4" s="1068" t="s">
        <v>411</v>
      </c>
      <c r="B4" s="1068" t="s">
        <v>316</v>
      </c>
      <c r="C4" s="1068" t="s">
        <v>441</v>
      </c>
      <c r="D4" s="1068" t="s">
        <v>467</v>
      </c>
      <c r="E4" s="1068" t="s">
        <v>440</v>
      </c>
      <c r="F4" s="1214" t="s">
        <v>439</v>
      </c>
      <c r="G4" s="1068" t="s">
        <v>410</v>
      </c>
    </row>
    <row r="5" spans="1:13" ht="18" customHeight="1">
      <c r="A5" s="1128"/>
      <c r="B5" s="1128"/>
      <c r="C5" s="1128"/>
      <c r="D5" s="1128"/>
      <c r="E5" s="1128"/>
      <c r="F5" s="1215"/>
      <c r="G5" s="1128"/>
    </row>
    <row r="6" spans="1:13" ht="17.25" customHeight="1">
      <c r="A6" s="1216" t="s">
        <v>49</v>
      </c>
      <c r="B6" s="747" t="s">
        <v>412</v>
      </c>
      <c r="C6" s="762">
        <v>388</v>
      </c>
      <c r="D6" s="986">
        <v>37</v>
      </c>
      <c r="E6" s="1217">
        <v>560</v>
      </c>
      <c r="F6" s="1211">
        <v>1377</v>
      </c>
      <c r="G6" s="1221">
        <v>41</v>
      </c>
    </row>
    <row r="7" spans="1:13" ht="17.25" customHeight="1">
      <c r="A7" s="1207"/>
      <c r="B7" s="741" t="s">
        <v>413</v>
      </c>
      <c r="C7" s="738">
        <v>172</v>
      </c>
      <c r="D7" s="987">
        <v>53</v>
      </c>
      <c r="E7" s="1209"/>
      <c r="F7" s="1212"/>
      <c r="G7" s="1222"/>
    </row>
    <row r="8" spans="1:13" ht="17.25" customHeight="1">
      <c r="A8" s="1207" t="s">
        <v>10</v>
      </c>
      <c r="B8" s="741" t="s">
        <v>412</v>
      </c>
      <c r="C8" s="738">
        <v>351</v>
      </c>
      <c r="D8" s="987">
        <v>33</v>
      </c>
      <c r="E8" s="1209">
        <v>514</v>
      </c>
      <c r="F8" s="1212"/>
      <c r="G8" s="1222">
        <v>37</v>
      </c>
    </row>
    <row r="9" spans="1:13" ht="17.25" customHeight="1">
      <c r="A9" s="1207"/>
      <c r="B9" s="741" t="s">
        <v>413</v>
      </c>
      <c r="C9" s="738">
        <v>163</v>
      </c>
      <c r="D9" s="987">
        <v>51</v>
      </c>
      <c r="E9" s="1209"/>
      <c r="F9" s="1212"/>
      <c r="G9" s="1222"/>
    </row>
    <row r="10" spans="1:13" ht="17.25" customHeight="1">
      <c r="A10" s="1207" t="s">
        <v>414</v>
      </c>
      <c r="B10" s="741" t="s">
        <v>412</v>
      </c>
      <c r="C10" s="763">
        <v>342</v>
      </c>
      <c r="D10" s="927">
        <v>32</v>
      </c>
      <c r="E10" s="1209">
        <v>499</v>
      </c>
      <c r="F10" s="1212"/>
      <c r="G10" s="1223">
        <v>36</v>
      </c>
    </row>
    <row r="11" spans="1:13" ht="17.25" customHeight="1">
      <c r="A11" s="1207"/>
      <c r="B11" s="741" t="s">
        <v>413</v>
      </c>
      <c r="C11" s="763">
        <v>157</v>
      </c>
      <c r="D11" s="927">
        <v>49</v>
      </c>
      <c r="E11" s="1209"/>
      <c r="F11" s="1212"/>
      <c r="G11" s="1223"/>
    </row>
    <row r="12" spans="1:13" ht="17.25" customHeight="1">
      <c r="A12" s="1207" t="s">
        <v>12</v>
      </c>
      <c r="B12" s="741" t="s">
        <v>412</v>
      </c>
      <c r="C12" s="763">
        <v>351</v>
      </c>
      <c r="D12" s="927">
        <v>33</v>
      </c>
      <c r="E12" s="1209">
        <v>441</v>
      </c>
      <c r="F12" s="1212"/>
      <c r="G12" s="1222">
        <v>32</v>
      </c>
    </row>
    <row r="13" spans="1:13" ht="17.25" customHeight="1">
      <c r="A13" s="1207"/>
      <c r="B13" s="741" t="s">
        <v>413</v>
      </c>
      <c r="C13" s="763">
        <v>90</v>
      </c>
      <c r="D13" s="927">
        <v>28</v>
      </c>
      <c r="E13" s="1209"/>
      <c r="F13" s="1212"/>
      <c r="G13" s="1222"/>
    </row>
    <row r="14" spans="1:13" ht="17.25" customHeight="1">
      <c r="A14" s="1207" t="s">
        <v>415</v>
      </c>
      <c r="B14" s="741" t="s">
        <v>412</v>
      </c>
      <c r="C14" s="738">
        <v>346</v>
      </c>
      <c r="D14" s="927">
        <v>33</v>
      </c>
      <c r="E14" s="1209">
        <v>434</v>
      </c>
      <c r="F14" s="1212"/>
      <c r="G14" s="1222">
        <v>32</v>
      </c>
      <c r="L14">
        <v>241.4</v>
      </c>
      <c r="M14">
        <v>1377</v>
      </c>
    </row>
    <row r="15" spans="1:13" ht="17.25" customHeight="1">
      <c r="A15" s="1207"/>
      <c r="B15" s="741" t="s">
        <v>413</v>
      </c>
      <c r="C15" s="738">
        <v>88</v>
      </c>
      <c r="D15" s="927">
        <v>27</v>
      </c>
      <c r="E15" s="1209"/>
      <c r="F15" s="1212"/>
      <c r="G15" s="1222"/>
      <c r="L15">
        <v>420.6</v>
      </c>
      <c r="M15">
        <v>2420</v>
      </c>
    </row>
    <row r="16" spans="1:13" ht="17.25" customHeight="1">
      <c r="A16" s="1207" t="s">
        <v>14</v>
      </c>
      <c r="B16" s="741" t="s">
        <v>412</v>
      </c>
      <c r="C16" s="763">
        <v>69</v>
      </c>
      <c r="D16" s="927">
        <v>7</v>
      </c>
      <c r="E16" s="1209">
        <v>70</v>
      </c>
      <c r="F16" s="1212"/>
      <c r="G16" s="1222">
        <v>5</v>
      </c>
      <c r="L16">
        <v>830.6</v>
      </c>
      <c r="M16">
        <v>1763</v>
      </c>
    </row>
    <row r="17" spans="1:13" ht="17.25" customHeight="1">
      <c r="A17" s="1207"/>
      <c r="B17" s="741" t="s">
        <v>413</v>
      </c>
      <c r="C17" s="927">
        <v>0.54</v>
      </c>
      <c r="D17" s="927">
        <v>0.2</v>
      </c>
      <c r="E17" s="1209"/>
      <c r="F17" s="1212"/>
      <c r="G17" s="1222"/>
      <c r="L17">
        <f>SUM(L14:L16)</f>
        <v>1492.6</v>
      </c>
      <c r="M17">
        <f>SUM(M14:M16)</f>
        <v>5560</v>
      </c>
    </row>
    <row r="18" spans="1:13" ht="17.25" customHeight="1">
      <c r="A18" s="1207" t="s">
        <v>15</v>
      </c>
      <c r="B18" s="741" t="s">
        <v>412</v>
      </c>
      <c r="C18" s="763">
        <v>67</v>
      </c>
      <c r="D18" s="927">
        <v>6</v>
      </c>
      <c r="E18" s="1213">
        <v>67</v>
      </c>
      <c r="F18" s="1212"/>
      <c r="G18" s="1236">
        <v>5</v>
      </c>
      <c r="L18" s="920">
        <f>L17/M17*100</f>
        <v>26.845323741007192</v>
      </c>
    </row>
    <row r="19" spans="1:13" ht="17.25" customHeight="1">
      <c r="A19" s="1207"/>
      <c r="B19" s="741" t="s">
        <v>413</v>
      </c>
      <c r="C19" s="927">
        <v>0.36</v>
      </c>
      <c r="D19" s="927">
        <v>0.1</v>
      </c>
      <c r="E19" s="1213"/>
      <c r="F19" s="1212"/>
      <c r="G19" s="1236"/>
    </row>
    <row r="20" spans="1:13" ht="17.25" customHeight="1">
      <c r="A20" s="1207" t="s">
        <v>416</v>
      </c>
      <c r="B20" s="741" t="s">
        <v>412</v>
      </c>
      <c r="C20" s="763">
        <v>57</v>
      </c>
      <c r="D20" s="927">
        <v>5</v>
      </c>
      <c r="E20" s="1209">
        <v>57</v>
      </c>
      <c r="F20" s="1212"/>
      <c r="G20" s="1222">
        <v>4</v>
      </c>
    </row>
    <row r="21" spans="1:13" ht="17.25" customHeight="1">
      <c r="A21" s="1207"/>
      <c r="B21" s="741" t="s">
        <v>413</v>
      </c>
      <c r="C21" s="927">
        <v>0.32</v>
      </c>
      <c r="D21" s="927">
        <v>0.1</v>
      </c>
      <c r="E21" s="1209"/>
      <c r="F21" s="1212"/>
      <c r="G21" s="1222"/>
    </row>
    <row r="22" spans="1:13" ht="17.25" customHeight="1">
      <c r="A22" s="1207" t="s">
        <v>417</v>
      </c>
      <c r="B22" s="741" t="s">
        <v>412</v>
      </c>
      <c r="C22" s="763">
        <v>54</v>
      </c>
      <c r="D22" s="927">
        <v>5</v>
      </c>
      <c r="E22" s="1206">
        <v>54.32</v>
      </c>
      <c r="F22" s="1212"/>
      <c r="G22" s="1222">
        <v>4</v>
      </c>
    </row>
    <row r="23" spans="1:13" ht="17.25" customHeight="1">
      <c r="A23" s="1207"/>
      <c r="B23" s="741" t="s">
        <v>413</v>
      </c>
      <c r="C23" s="927">
        <v>0.32</v>
      </c>
      <c r="D23" s="927">
        <v>0.1</v>
      </c>
      <c r="E23" s="1206"/>
      <c r="F23" s="1212"/>
      <c r="G23" s="1222"/>
    </row>
    <row r="24" spans="1:13" ht="17.25" customHeight="1">
      <c r="A24" s="1207" t="s">
        <v>46</v>
      </c>
      <c r="B24" s="741" t="s">
        <v>412</v>
      </c>
      <c r="C24" s="763">
        <v>62</v>
      </c>
      <c r="D24" s="927">
        <v>6</v>
      </c>
      <c r="E24" s="1206">
        <v>62.35</v>
      </c>
      <c r="F24" s="1212"/>
      <c r="G24" s="1222">
        <v>4.5</v>
      </c>
    </row>
    <row r="25" spans="1:13" ht="17.25" customHeight="1">
      <c r="A25" s="1207"/>
      <c r="B25" s="741" t="s">
        <v>413</v>
      </c>
      <c r="C25" s="927">
        <v>0.35</v>
      </c>
      <c r="D25" s="927">
        <v>0.1</v>
      </c>
      <c r="E25" s="1206"/>
      <c r="F25" s="1212"/>
      <c r="G25" s="1222"/>
    </row>
    <row r="26" spans="1:13" ht="17.25" customHeight="1">
      <c r="A26" s="1207" t="s">
        <v>47</v>
      </c>
      <c r="B26" s="741" t="s">
        <v>412</v>
      </c>
      <c r="C26" s="763">
        <v>55</v>
      </c>
      <c r="D26" s="927">
        <v>5</v>
      </c>
      <c r="E26" s="1206">
        <v>55.5</v>
      </c>
      <c r="F26" s="1212"/>
      <c r="G26" s="1222">
        <v>4</v>
      </c>
    </row>
    <row r="27" spans="1:13" ht="17.25" customHeight="1">
      <c r="A27" s="1207"/>
      <c r="B27" s="741" t="s">
        <v>413</v>
      </c>
      <c r="C27" s="763">
        <v>0.5</v>
      </c>
      <c r="D27" s="927">
        <v>0.2</v>
      </c>
      <c r="E27" s="1206"/>
      <c r="F27" s="1212"/>
      <c r="G27" s="1222"/>
    </row>
    <row r="28" spans="1:13" ht="17.25" customHeight="1">
      <c r="A28" s="1207" t="s">
        <v>48</v>
      </c>
      <c r="B28" s="741" t="s">
        <v>412</v>
      </c>
      <c r="C28" s="763">
        <v>80</v>
      </c>
      <c r="D28" s="927">
        <v>8</v>
      </c>
      <c r="E28" s="1209">
        <v>83</v>
      </c>
      <c r="F28" s="1212"/>
      <c r="G28" s="1222">
        <v>6</v>
      </c>
    </row>
    <row r="29" spans="1:13" ht="17.25" customHeight="1">
      <c r="A29" s="1208"/>
      <c r="B29" s="740" t="s">
        <v>413</v>
      </c>
      <c r="C29" s="764">
        <v>3</v>
      </c>
      <c r="D29" s="988">
        <v>1</v>
      </c>
      <c r="E29" s="1210"/>
      <c r="F29" s="1212"/>
      <c r="G29" s="1237"/>
    </row>
    <row r="30" spans="1:13" ht="26.25" customHeight="1" thickBot="1">
      <c r="A30" s="1227" t="s">
        <v>418</v>
      </c>
      <c r="B30" s="1227"/>
      <c r="C30" s="1227"/>
      <c r="D30" s="1227"/>
      <c r="E30" s="983">
        <v>241.42</v>
      </c>
      <c r="F30" s="984"/>
      <c r="G30" s="985">
        <v>17.5</v>
      </c>
    </row>
    <row r="31" spans="1:13" ht="3.75" customHeight="1" thickTop="1">
      <c r="A31" s="600"/>
      <c r="B31" s="600"/>
      <c r="C31" s="600"/>
      <c r="D31" s="600"/>
      <c r="E31" s="600"/>
      <c r="F31" s="600"/>
      <c r="G31" s="611"/>
    </row>
    <row r="32" spans="1:13" ht="25.5" customHeight="1">
      <c r="A32" s="1224" t="s">
        <v>4</v>
      </c>
      <c r="B32" s="1224"/>
      <c r="C32" s="1224"/>
      <c r="D32" s="1224"/>
      <c r="E32" s="1224"/>
      <c r="F32" s="600"/>
      <c r="G32" s="748"/>
    </row>
    <row r="33" spans="1:13" ht="19.5" customHeight="1">
      <c r="A33" s="1225" t="s">
        <v>228</v>
      </c>
      <c r="B33" s="1225"/>
      <c r="C33" s="1225"/>
      <c r="D33" s="1225"/>
      <c r="E33" s="1225"/>
      <c r="F33" s="610"/>
      <c r="G33" s="767">
        <v>56</v>
      </c>
    </row>
    <row r="34" spans="1:13" ht="21.75" customHeight="1">
      <c r="A34" s="1202" t="s">
        <v>545</v>
      </c>
      <c r="B34" s="1202"/>
      <c r="C34" s="1202"/>
      <c r="D34" s="1202"/>
      <c r="E34" s="1202"/>
      <c r="F34" s="1202"/>
      <c r="G34" s="1202"/>
    </row>
    <row r="35" spans="1:13" ht="21.75" customHeight="1">
      <c r="A35" s="739"/>
      <c r="B35" s="739"/>
      <c r="C35" s="1202" t="s">
        <v>468</v>
      </c>
      <c r="D35" s="1202"/>
      <c r="E35" s="739"/>
      <c r="F35" s="739"/>
      <c r="G35" s="739"/>
    </row>
    <row r="36" spans="1:13" ht="16.5" customHeight="1" thickBot="1">
      <c r="A36" s="1229" t="s">
        <v>511</v>
      </c>
      <c r="B36" s="1229"/>
      <c r="C36" s="541"/>
      <c r="D36" s="541"/>
      <c r="E36" s="541"/>
      <c r="F36" s="541"/>
      <c r="G36" s="678"/>
    </row>
    <row r="37" spans="1:13" ht="24.75" customHeight="1" thickTop="1">
      <c r="A37" s="1068" t="s">
        <v>411</v>
      </c>
      <c r="B37" s="1068" t="s">
        <v>316</v>
      </c>
      <c r="C37" s="1068" t="s">
        <v>441</v>
      </c>
      <c r="D37" s="1068" t="s">
        <v>467</v>
      </c>
      <c r="E37" s="1068" t="s">
        <v>440</v>
      </c>
      <c r="F37" s="1214" t="s">
        <v>439</v>
      </c>
      <c r="G37" s="1068" t="s">
        <v>410</v>
      </c>
    </row>
    <row r="38" spans="1:13" ht="18" customHeight="1">
      <c r="A38" s="1128"/>
      <c r="B38" s="1128"/>
      <c r="C38" s="1128"/>
      <c r="D38" s="1128"/>
      <c r="E38" s="1128"/>
      <c r="F38" s="1215"/>
      <c r="G38" s="1128"/>
      <c r="M38" s="1217">
        <v>887</v>
      </c>
    </row>
    <row r="39" spans="1:13" ht="17.25" customHeight="1">
      <c r="A39" s="1216" t="s">
        <v>49</v>
      </c>
      <c r="B39" s="747" t="s">
        <v>419</v>
      </c>
      <c r="C39" s="762">
        <v>390</v>
      </c>
      <c r="D39" s="986">
        <v>32</v>
      </c>
      <c r="E39" s="1217">
        <v>887</v>
      </c>
      <c r="F39" s="1218">
        <v>2420</v>
      </c>
      <c r="G39" s="1221">
        <v>37</v>
      </c>
      <c r="M39" s="1209"/>
    </row>
    <row r="40" spans="1:13" ht="17.25" customHeight="1">
      <c r="A40" s="1207"/>
      <c r="B40" s="741" t="s">
        <v>420</v>
      </c>
      <c r="C40" s="738">
        <v>129</v>
      </c>
      <c r="D40" s="987">
        <v>83</v>
      </c>
      <c r="E40" s="1209"/>
      <c r="F40" s="1219"/>
      <c r="G40" s="1222"/>
      <c r="M40" s="1209"/>
    </row>
    <row r="41" spans="1:13" ht="17.25" customHeight="1">
      <c r="A41" s="1207"/>
      <c r="B41" s="741" t="s">
        <v>421</v>
      </c>
      <c r="C41" s="738">
        <v>368</v>
      </c>
      <c r="D41" s="987">
        <v>36</v>
      </c>
      <c r="E41" s="1209"/>
      <c r="F41" s="1219"/>
      <c r="G41" s="1222"/>
      <c r="M41" s="1209">
        <v>850</v>
      </c>
    </row>
    <row r="42" spans="1:13" ht="17.25" customHeight="1">
      <c r="A42" s="1207" t="s">
        <v>10</v>
      </c>
      <c r="B42" s="741" t="s">
        <v>419</v>
      </c>
      <c r="C42" s="763">
        <v>374</v>
      </c>
      <c r="D42" s="987">
        <v>30</v>
      </c>
      <c r="E42" s="1209">
        <v>850</v>
      </c>
      <c r="F42" s="1219"/>
      <c r="G42" s="1222">
        <v>35</v>
      </c>
      <c r="M42" s="1209"/>
    </row>
    <row r="43" spans="1:13" ht="17.25" customHeight="1">
      <c r="A43" s="1207"/>
      <c r="B43" s="741" t="s">
        <v>420</v>
      </c>
      <c r="C43" s="763">
        <v>124</v>
      </c>
      <c r="D43" s="987">
        <v>80</v>
      </c>
      <c r="E43" s="1209"/>
      <c r="F43" s="1219"/>
      <c r="G43" s="1222"/>
      <c r="M43" s="1209"/>
    </row>
    <row r="44" spans="1:13" ht="17.25" customHeight="1">
      <c r="A44" s="1207"/>
      <c r="B44" s="741" t="s">
        <v>421</v>
      </c>
      <c r="C44" s="763">
        <v>352</v>
      </c>
      <c r="D44" s="987">
        <v>34</v>
      </c>
      <c r="E44" s="1209"/>
      <c r="F44" s="1219"/>
      <c r="G44" s="1222"/>
      <c r="M44" s="1209">
        <v>834</v>
      </c>
    </row>
    <row r="45" spans="1:13" ht="17.25" customHeight="1">
      <c r="A45" s="1207" t="s">
        <v>414</v>
      </c>
      <c r="B45" s="741" t="s">
        <v>419</v>
      </c>
      <c r="C45" s="738">
        <v>369</v>
      </c>
      <c r="D45" s="987">
        <v>30</v>
      </c>
      <c r="E45" s="1209">
        <v>834</v>
      </c>
      <c r="F45" s="1219"/>
      <c r="G45" s="1223">
        <v>34</v>
      </c>
      <c r="M45" s="1209"/>
    </row>
    <row r="46" spans="1:13" ht="17.25" customHeight="1">
      <c r="A46" s="1207"/>
      <c r="B46" s="741" t="s">
        <v>420</v>
      </c>
      <c r="C46" s="738">
        <v>122</v>
      </c>
      <c r="D46" s="987">
        <v>79</v>
      </c>
      <c r="E46" s="1209"/>
      <c r="F46" s="1219"/>
      <c r="G46" s="1223"/>
      <c r="M46" s="1209"/>
    </row>
    <row r="47" spans="1:13" ht="17.25" customHeight="1">
      <c r="A47" s="1207"/>
      <c r="B47" s="741" t="s">
        <v>421</v>
      </c>
      <c r="C47" s="738">
        <v>343</v>
      </c>
      <c r="D47" s="987">
        <v>33</v>
      </c>
      <c r="E47" s="1209"/>
      <c r="F47" s="1219"/>
      <c r="G47" s="1223"/>
      <c r="M47" s="1209">
        <v>839</v>
      </c>
    </row>
    <row r="48" spans="1:13" ht="17.25" customHeight="1">
      <c r="A48" s="1207" t="s">
        <v>12</v>
      </c>
      <c r="B48" s="741" t="s">
        <v>419</v>
      </c>
      <c r="C48" s="738">
        <v>370</v>
      </c>
      <c r="D48" s="987">
        <v>30</v>
      </c>
      <c r="E48" s="1209">
        <v>839</v>
      </c>
      <c r="F48" s="1219"/>
      <c r="G48" s="1223">
        <v>35</v>
      </c>
      <c r="M48" s="1209"/>
    </row>
    <row r="49" spans="1:13" ht="17.25" customHeight="1">
      <c r="A49" s="1207"/>
      <c r="B49" s="741" t="s">
        <v>420</v>
      </c>
      <c r="C49" s="738">
        <v>124</v>
      </c>
      <c r="D49" s="987">
        <v>80</v>
      </c>
      <c r="E49" s="1209"/>
      <c r="F49" s="1219"/>
      <c r="G49" s="1223"/>
      <c r="M49" s="1209"/>
    </row>
    <row r="50" spans="1:13" ht="17.25" customHeight="1">
      <c r="A50" s="1207"/>
      <c r="B50" s="741" t="s">
        <v>421</v>
      </c>
      <c r="C50" s="738">
        <v>345</v>
      </c>
      <c r="D50" s="987">
        <v>33</v>
      </c>
      <c r="E50" s="1209"/>
      <c r="F50" s="1219"/>
      <c r="G50" s="1223"/>
      <c r="M50" s="1209">
        <v>814</v>
      </c>
    </row>
    <row r="51" spans="1:13" ht="17.25" customHeight="1">
      <c r="A51" s="1207" t="s">
        <v>415</v>
      </c>
      <c r="B51" s="741" t="s">
        <v>419</v>
      </c>
      <c r="C51" s="738">
        <v>355</v>
      </c>
      <c r="D51" s="927">
        <v>29</v>
      </c>
      <c r="E51" s="1209">
        <v>814</v>
      </c>
      <c r="F51" s="1219"/>
      <c r="G51" s="1223">
        <v>34</v>
      </c>
      <c r="M51" s="1209"/>
    </row>
    <row r="52" spans="1:13" ht="17.25" customHeight="1">
      <c r="A52" s="1207"/>
      <c r="B52" s="741" t="s">
        <v>420</v>
      </c>
      <c r="C52" s="738">
        <v>123</v>
      </c>
      <c r="D52" s="927">
        <v>79</v>
      </c>
      <c r="E52" s="1209"/>
      <c r="F52" s="1219"/>
      <c r="G52" s="1223"/>
      <c r="M52" s="1209"/>
    </row>
    <row r="53" spans="1:13" ht="17.25" customHeight="1">
      <c r="A53" s="1207"/>
      <c r="B53" s="741" t="s">
        <v>421</v>
      </c>
      <c r="C53" s="738">
        <v>336</v>
      </c>
      <c r="D53" s="927">
        <v>32</v>
      </c>
      <c r="E53" s="1209"/>
      <c r="F53" s="1219"/>
      <c r="G53" s="1223"/>
      <c r="M53" s="1209">
        <v>209</v>
      </c>
    </row>
    <row r="54" spans="1:13" ht="17.25" customHeight="1">
      <c r="A54" s="1207" t="s">
        <v>14</v>
      </c>
      <c r="B54" s="741" t="s">
        <v>419</v>
      </c>
      <c r="C54" s="738">
        <v>62</v>
      </c>
      <c r="D54" s="987">
        <v>5</v>
      </c>
      <c r="E54" s="1209">
        <v>209</v>
      </c>
      <c r="F54" s="1219"/>
      <c r="G54" s="1222">
        <v>9</v>
      </c>
      <c r="M54" s="1209"/>
    </row>
    <row r="55" spans="1:13" ht="17.25" customHeight="1">
      <c r="A55" s="1207"/>
      <c r="B55" s="741" t="s">
        <v>420</v>
      </c>
      <c r="C55" s="738">
        <v>55</v>
      </c>
      <c r="D55" s="987">
        <v>35</v>
      </c>
      <c r="E55" s="1209"/>
      <c r="F55" s="1219"/>
      <c r="G55" s="1222"/>
      <c r="M55" s="1209"/>
    </row>
    <row r="56" spans="1:13" ht="17.25" customHeight="1">
      <c r="A56" s="1207"/>
      <c r="B56" s="741" t="s">
        <v>421</v>
      </c>
      <c r="C56" s="738">
        <v>92</v>
      </c>
      <c r="D56" s="987">
        <v>9</v>
      </c>
      <c r="E56" s="1209"/>
      <c r="F56" s="1219"/>
      <c r="G56" s="1222"/>
      <c r="M56" s="1213">
        <v>118</v>
      </c>
    </row>
    <row r="57" spans="1:13" ht="17.25" customHeight="1">
      <c r="A57" s="1207" t="s">
        <v>15</v>
      </c>
      <c r="B57" s="741" t="s">
        <v>419</v>
      </c>
      <c r="C57" s="738">
        <v>32</v>
      </c>
      <c r="D57" s="987">
        <v>3</v>
      </c>
      <c r="E57" s="1213">
        <v>118</v>
      </c>
      <c r="F57" s="1219"/>
      <c r="G57" s="1223">
        <v>5</v>
      </c>
      <c r="M57" s="1213"/>
    </row>
    <row r="58" spans="1:13" ht="17.25" customHeight="1">
      <c r="A58" s="1207"/>
      <c r="B58" s="741" t="s">
        <v>420</v>
      </c>
      <c r="C58" s="738">
        <v>20</v>
      </c>
      <c r="D58" s="987">
        <v>13</v>
      </c>
      <c r="E58" s="1213"/>
      <c r="F58" s="1219"/>
      <c r="G58" s="1223"/>
      <c r="M58" s="1213"/>
    </row>
    <row r="59" spans="1:13" ht="17.25" customHeight="1">
      <c r="A59" s="1207"/>
      <c r="B59" s="741" t="s">
        <v>421</v>
      </c>
      <c r="C59" s="738">
        <v>66</v>
      </c>
      <c r="D59" s="987">
        <v>6</v>
      </c>
      <c r="E59" s="1213"/>
      <c r="F59" s="1219"/>
      <c r="G59" s="1223"/>
      <c r="M59" s="1209">
        <v>61</v>
      </c>
    </row>
    <row r="60" spans="1:13" ht="17.25" customHeight="1">
      <c r="A60" s="1207" t="s">
        <v>416</v>
      </c>
      <c r="B60" s="741" t="s">
        <v>419</v>
      </c>
      <c r="C60" s="738">
        <v>14</v>
      </c>
      <c r="D60" s="987">
        <v>1</v>
      </c>
      <c r="E60" s="1209">
        <v>61</v>
      </c>
      <c r="F60" s="1219"/>
      <c r="G60" s="1222">
        <v>3</v>
      </c>
      <c r="M60" s="1209"/>
    </row>
    <row r="61" spans="1:13" ht="17.25" customHeight="1" thickBot="1">
      <c r="A61" s="1207"/>
      <c r="B61" s="741" t="s">
        <v>420</v>
      </c>
      <c r="C61" s="738">
        <v>5</v>
      </c>
      <c r="D61" s="987">
        <v>3</v>
      </c>
      <c r="E61" s="1209"/>
      <c r="F61" s="1219"/>
      <c r="G61" s="1222"/>
      <c r="M61" s="1234"/>
    </row>
    <row r="62" spans="1:13" ht="17.25" customHeight="1" thickTop="1" thickBot="1">
      <c r="A62" s="1233"/>
      <c r="B62" s="742" t="s">
        <v>421</v>
      </c>
      <c r="C62" s="768">
        <v>42</v>
      </c>
      <c r="D62" s="989">
        <v>4</v>
      </c>
      <c r="E62" s="1234"/>
      <c r="F62" s="1220"/>
      <c r="G62" s="1239"/>
      <c r="M62" s="1235">
        <v>60</v>
      </c>
    </row>
    <row r="63" spans="1:13" ht="22.5" customHeight="1" thickTop="1">
      <c r="A63" s="1230" t="s">
        <v>4</v>
      </c>
      <c r="B63" s="1230"/>
      <c r="C63" s="1230"/>
      <c r="D63" s="1230"/>
      <c r="E63" s="1230"/>
      <c r="F63" s="600"/>
      <c r="G63" s="748" t="s">
        <v>74</v>
      </c>
      <c r="M63" s="1231"/>
    </row>
    <row r="64" spans="1:13" ht="22.5" customHeight="1">
      <c r="A64" s="834"/>
      <c r="B64" s="834"/>
      <c r="C64" s="834"/>
      <c r="D64" s="834"/>
      <c r="E64" s="834"/>
      <c r="F64" s="600"/>
      <c r="G64" s="748"/>
      <c r="M64" s="1231"/>
    </row>
    <row r="65" spans="1:13" ht="27.75" customHeight="1">
      <c r="A65" s="1225" t="s">
        <v>228</v>
      </c>
      <c r="B65" s="1225"/>
      <c r="C65" s="1225"/>
      <c r="D65" s="1225"/>
      <c r="E65" s="1225"/>
      <c r="F65" s="610"/>
      <c r="G65" s="767">
        <v>57</v>
      </c>
      <c r="M65" s="1231">
        <v>85</v>
      </c>
    </row>
    <row r="66" spans="1:13" ht="24.75" customHeight="1">
      <c r="A66" s="1202" t="s">
        <v>545</v>
      </c>
      <c r="B66" s="1202"/>
      <c r="C66" s="1202"/>
      <c r="D66" s="1202"/>
      <c r="E66" s="1202"/>
      <c r="F66" s="1202"/>
      <c r="G66" s="1202"/>
      <c r="M66" s="1231"/>
    </row>
    <row r="67" spans="1:13" ht="24.75" customHeight="1">
      <c r="A67" s="739"/>
      <c r="B67" s="739"/>
      <c r="C67" s="1202" t="s">
        <v>468</v>
      </c>
      <c r="D67" s="1202"/>
      <c r="E67" s="739"/>
      <c r="F67" s="739"/>
      <c r="G67" s="739"/>
      <c r="M67" s="1231"/>
    </row>
    <row r="68" spans="1:13" ht="23.25" customHeight="1" thickBot="1">
      <c r="A68" s="1229" t="s">
        <v>513</v>
      </c>
      <c r="B68" s="1229"/>
      <c r="C68" s="541"/>
      <c r="D68" s="541"/>
      <c r="E68" s="541"/>
      <c r="F68" s="541"/>
      <c r="G68" s="678"/>
      <c r="M68" s="1231">
        <v>78</v>
      </c>
    </row>
    <row r="69" spans="1:13" ht="24.75" customHeight="1" thickTop="1">
      <c r="A69" s="1068" t="s">
        <v>411</v>
      </c>
      <c r="B69" s="1068" t="s">
        <v>316</v>
      </c>
      <c r="C69" s="1068" t="s">
        <v>441</v>
      </c>
      <c r="D69" s="1068" t="s">
        <v>467</v>
      </c>
      <c r="E69" s="1068" t="s">
        <v>440</v>
      </c>
      <c r="F69" s="1214" t="s">
        <v>439</v>
      </c>
      <c r="G69" s="1068" t="s">
        <v>410</v>
      </c>
      <c r="M69" s="1231"/>
    </row>
    <row r="70" spans="1:13" ht="18" customHeight="1">
      <c r="A70" s="1128"/>
      <c r="B70" s="1128"/>
      <c r="C70" s="1128"/>
      <c r="D70" s="1128"/>
      <c r="E70" s="1128"/>
      <c r="F70" s="1215"/>
      <c r="G70" s="1128"/>
      <c r="M70" s="1231"/>
    </row>
    <row r="71" spans="1:13" ht="21.75" customHeight="1">
      <c r="A71" s="1216" t="s">
        <v>417</v>
      </c>
      <c r="B71" s="747" t="s">
        <v>419</v>
      </c>
      <c r="C71" s="762">
        <v>9</v>
      </c>
      <c r="D71" s="986">
        <v>0.7</v>
      </c>
      <c r="E71" s="1235">
        <v>60</v>
      </c>
      <c r="F71" s="1211">
        <v>2420</v>
      </c>
      <c r="G71" s="1221">
        <v>2</v>
      </c>
      <c r="M71" s="1231">
        <v>212</v>
      </c>
    </row>
    <row r="72" spans="1:13" ht="21.75" customHeight="1">
      <c r="A72" s="1207"/>
      <c r="B72" s="741" t="s">
        <v>420</v>
      </c>
      <c r="C72" s="738">
        <v>5</v>
      </c>
      <c r="D72" s="987">
        <v>3</v>
      </c>
      <c r="E72" s="1231"/>
      <c r="F72" s="1212"/>
      <c r="G72" s="1222"/>
      <c r="M72" s="1231"/>
    </row>
    <row r="73" spans="1:13" ht="21.75" customHeight="1">
      <c r="A73" s="1207"/>
      <c r="B73" s="741" t="s">
        <v>421</v>
      </c>
      <c r="C73" s="738">
        <v>46</v>
      </c>
      <c r="D73" s="987">
        <v>4</v>
      </c>
      <c r="E73" s="1231"/>
      <c r="F73" s="1212"/>
      <c r="G73" s="1222"/>
      <c r="M73" s="1232"/>
    </row>
    <row r="74" spans="1:13" ht="21.75" customHeight="1">
      <c r="A74" s="1207" t="s">
        <v>46</v>
      </c>
      <c r="B74" s="741" t="s">
        <v>419</v>
      </c>
      <c r="C74" s="738">
        <v>13</v>
      </c>
      <c r="D74" s="987">
        <v>1</v>
      </c>
      <c r="E74" s="1231">
        <v>85</v>
      </c>
      <c r="F74" s="1212"/>
      <c r="G74" s="1222">
        <v>3.5</v>
      </c>
      <c r="M74" s="928">
        <f>SUM(M38:M73)</f>
        <v>5047</v>
      </c>
    </row>
    <row r="75" spans="1:13" ht="21.75" customHeight="1">
      <c r="A75" s="1207"/>
      <c r="B75" s="741" t="s">
        <v>420</v>
      </c>
      <c r="C75" s="738">
        <v>6</v>
      </c>
      <c r="D75" s="987">
        <v>4</v>
      </c>
      <c r="E75" s="1231"/>
      <c r="F75" s="1212"/>
      <c r="G75" s="1222"/>
    </row>
    <row r="76" spans="1:13" ht="21.75" customHeight="1">
      <c r="A76" s="1207"/>
      <c r="B76" s="741" t="s">
        <v>421</v>
      </c>
      <c r="C76" s="738">
        <v>66</v>
      </c>
      <c r="D76" s="987">
        <v>6</v>
      </c>
      <c r="E76" s="1231"/>
      <c r="F76" s="1212"/>
      <c r="G76" s="1222"/>
    </row>
    <row r="77" spans="1:13" ht="21.75" customHeight="1">
      <c r="A77" s="1207" t="s">
        <v>47</v>
      </c>
      <c r="B77" s="741" t="s">
        <v>419</v>
      </c>
      <c r="C77" s="738">
        <v>12</v>
      </c>
      <c r="D77" s="987">
        <v>1</v>
      </c>
      <c r="E77" s="1231">
        <v>78</v>
      </c>
      <c r="F77" s="1212"/>
      <c r="G77" s="1222">
        <v>3</v>
      </c>
    </row>
    <row r="78" spans="1:13" ht="21.75" customHeight="1">
      <c r="A78" s="1207"/>
      <c r="B78" s="741" t="s">
        <v>420</v>
      </c>
      <c r="C78" s="738">
        <v>8</v>
      </c>
      <c r="D78" s="987">
        <v>5</v>
      </c>
      <c r="E78" s="1231"/>
      <c r="F78" s="1212"/>
      <c r="G78" s="1222"/>
    </row>
    <row r="79" spans="1:13" ht="21.75" customHeight="1">
      <c r="A79" s="1207"/>
      <c r="B79" s="741" t="s">
        <v>421</v>
      </c>
      <c r="C79" s="738">
        <v>58</v>
      </c>
      <c r="D79" s="987">
        <v>6</v>
      </c>
      <c r="E79" s="1231"/>
      <c r="F79" s="1212"/>
      <c r="G79" s="1222"/>
    </row>
    <row r="80" spans="1:13" ht="21.75" customHeight="1">
      <c r="A80" s="1207" t="s">
        <v>48</v>
      </c>
      <c r="B80" s="741" t="s">
        <v>419</v>
      </c>
      <c r="C80" s="763">
        <v>44</v>
      </c>
      <c r="D80" s="927">
        <v>4</v>
      </c>
      <c r="E80" s="1231">
        <v>212</v>
      </c>
      <c r="F80" s="1212"/>
      <c r="G80" s="1222">
        <v>9</v>
      </c>
    </row>
    <row r="81" spans="1:7" ht="21.75" customHeight="1">
      <c r="A81" s="1207"/>
      <c r="B81" s="741" t="s">
        <v>420</v>
      </c>
      <c r="C81" s="763">
        <v>18</v>
      </c>
      <c r="D81" s="927">
        <v>12</v>
      </c>
      <c r="E81" s="1231"/>
      <c r="F81" s="1212"/>
      <c r="G81" s="1222"/>
    </row>
    <row r="82" spans="1:7" ht="21.75" customHeight="1" thickBot="1">
      <c r="A82" s="1208"/>
      <c r="B82" s="740" t="s">
        <v>421</v>
      </c>
      <c r="C82" s="764">
        <v>150</v>
      </c>
      <c r="D82" s="988">
        <v>14</v>
      </c>
      <c r="E82" s="1232"/>
      <c r="F82" s="1238"/>
      <c r="G82" s="1237"/>
    </row>
    <row r="83" spans="1:7" ht="26.25" customHeight="1" thickBot="1">
      <c r="A83" s="1228" t="s">
        <v>418</v>
      </c>
      <c r="B83" s="1228"/>
      <c r="C83" s="1228"/>
      <c r="D83" s="1228"/>
      <c r="E83" s="929">
        <v>420.6</v>
      </c>
      <c r="F83" s="766"/>
      <c r="G83" s="765">
        <v>17.5</v>
      </c>
    </row>
    <row r="84" spans="1:7" ht="26.25" customHeight="1" thickTop="1">
      <c r="A84" s="1226" t="s">
        <v>4</v>
      </c>
      <c r="B84" s="1226"/>
      <c r="C84" s="1226"/>
      <c r="D84" s="1226"/>
      <c r="E84" s="1226"/>
      <c r="F84" s="750"/>
      <c r="G84" s="748"/>
    </row>
    <row r="85" spans="1:7" ht="28.5" customHeight="1">
      <c r="F85" s="600"/>
      <c r="G85" s="749"/>
    </row>
    <row r="86" spans="1:7" ht="23.25" customHeight="1">
      <c r="A86" s="751"/>
      <c r="B86" s="751"/>
      <c r="C86" s="751"/>
      <c r="D86" s="751"/>
      <c r="E86" s="751"/>
      <c r="F86" s="600"/>
      <c r="G86" s="749"/>
    </row>
    <row r="87" spans="1:7" ht="18.75" customHeight="1">
      <c r="A87" s="750"/>
      <c r="B87" s="750"/>
      <c r="C87" s="750"/>
      <c r="D87" s="750"/>
      <c r="E87" s="750"/>
      <c r="F87" s="600"/>
      <c r="G87" s="749"/>
    </row>
    <row r="88" spans="1:7" ht="18.75" customHeight="1">
      <c r="A88" s="751"/>
      <c r="B88" s="751"/>
      <c r="C88" s="751"/>
      <c r="D88" s="751"/>
      <c r="E88" s="751"/>
      <c r="F88" s="600"/>
      <c r="G88" s="749"/>
    </row>
    <row r="89" spans="1:7" ht="15.75" customHeight="1">
      <c r="A89" s="750"/>
      <c r="B89" s="750"/>
      <c r="C89" s="750"/>
      <c r="D89" s="750"/>
      <c r="E89" s="750"/>
      <c r="F89" s="600"/>
      <c r="G89" s="749"/>
    </row>
    <row r="90" spans="1:7" ht="15.75" customHeight="1">
      <c r="A90" s="750"/>
      <c r="B90" s="750"/>
      <c r="C90" s="750"/>
      <c r="D90" s="750"/>
      <c r="E90" s="750"/>
      <c r="F90" s="600"/>
      <c r="G90" s="749"/>
    </row>
    <row r="91" spans="1:7" ht="26.25" customHeight="1">
      <c r="A91" s="1225" t="s">
        <v>228</v>
      </c>
      <c r="B91" s="1225"/>
      <c r="C91" s="1225"/>
      <c r="D91" s="1225"/>
      <c r="E91" s="1225"/>
      <c r="F91" s="610"/>
      <c r="G91" s="767">
        <v>58</v>
      </c>
    </row>
    <row r="92" spans="1:7" ht="23.25" customHeight="1">
      <c r="A92" s="1202" t="s">
        <v>545</v>
      </c>
      <c r="B92" s="1202"/>
      <c r="C92" s="1202"/>
      <c r="D92" s="1202"/>
      <c r="E92" s="1202"/>
      <c r="F92" s="1202"/>
      <c r="G92" s="1202"/>
    </row>
    <row r="93" spans="1:7" ht="23.25" customHeight="1">
      <c r="A93" s="739"/>
      <c r="B93" s="739"/>
      <c r="C93" s="1202" t="s">
        <v>469</v>
      </c>
      <c r="D93" s="1202"/>
      <c r="E93" s="739"/>
      <c r="F93" s="739"/>
      <c r="G93" s="739"/>
    </row>
    <row r="94" spans="1:7" ht="26.25" customHeight="1" thickBot="1">
      <c r="A94" s="1229" t="s">
        <v>512</v>
      </c>
      <c r="B94" s="1229"/>
      <c r="C94" s="541"/>
      <c r="D94" s="541"/>
      <c r="E94" s="541"/>
      <c r="F94" s="541"/>
      <c r="G94" s="678"/>
    </row>
    <row r="95" spans="1:7" ht="24.75" customHeight="1" thickTop="1">
      <c r="A95" s="1068" t="s">
        <v>411</v>
      </c>
      <c r="B95" s="1068" t="s">
        <v>316</v>
      </c>
      <c r="C95" s="1114" t="s">
        <v>441</v>
      </c>
      <c r="D95" s="1114" t="s">
        <v>467</v>
      </c>
      <c r="E95" s="1114" t="s">
        <v>440</v>
      </c>
      <c r="F95" s="1204" t="s">
        <v>439</v>
      </c>
      <c r="G95" s="1114" t="s">
        <v>410</v>
      </c>
    </row>
    <row r="96" spans="1:7" ht="18" customHeight="1">
      <c r="A96" s="1128"/>
      <c r="B96" s="1128"/>
      <c r="C96" s="1203"/>
      <c r="D96" s="1203"/>
      <c r="E96" s="1203"/>
      <c r="F96" s="1205"/>
      <c r="G96" s="1203"/>
    </row>
    <row r="97" spans="1:7" ht="18.75" customHeight="1">
      <c r="A97" s="1216" t="s">
        <v>49</v>
      </c>
      <c r="B97" s="747" t="s">
        <v>422</v>
      </c>
      <c r="C97" s="769">
        <v>400</v>
      </c>
      <c r="D97" s="990">
        <v>71</v>
      </c>
      <c r="E97" s="1217">
        <v>1338</v>
      </c>
      <c r="F97" s="1211">
        <v>1763</v>
      </c>
      <c r="G97" s="1221">
        <v>76</v>
      </c>
    </row>
    <row r="98" spans="1:7">
      <c r="A98" s="1207"/>
      <c r="B98" s="741" t="s">
        <v>423</v>
      </c>
      <c r="C98" s="770">
        <v>938</v>
      </c>
      <c r="D98" s="991">
        <v>78</v>
      </c>
      <c r="E98" s="1209"/>
      <c r="F98" s="1212"/>
      <c r="G98" s="1222"/>
    </row>
    <row r="99" spans="1:7">
      <c r="A99" s="1207" t="s">
        <v>10</v>
      </c>
      <c r="B99" s="741" t="s">
        <v>422</v>
      </c>
      <c r="C99" s="770">
        <v>388</v>
      </c>
      <c r="D99" s="991">
        <v>69</v>
      </c>
      <c r="E99" s="1209">
        <v>1305</v>
      </c>
      <c r="F99" s="1212"/>
      <c r="G99" s="1222">
        <v>74</v>
      </c>
    </row>
    <row r="100" spans="1:7">
      <c r="A100" s="1207"/>
      <c r="B100" s="741" t="s">
        <v>423</v>
      </c>
      <c r="C100" s="770">
        <v>917</v>
      </c>
      <c r="D100" s="991">
        <v>76</v>
      </c>
      <c r="E100" s="1209"/>
      <c r="F100" s="1212"/>
      <c r="G100" s="1222"/>
    </row>
    <row r="101" spans="1:7">
      <c r="A101" s="1207" t="s">
        <v>414</v>
      </c>
      <c r="B101" s="741" t="s">
        <v>422</v>
      </c>
      <c r="C101" s="770">
        <v>380</v>
      </c>
      <c r="D101" s="991">
        <v>67</v>
      </c>
      <c r="E101" s="1209">
        <v>1289</v>
      </c>
      <c r="F101" s="1212"/>
      <c r="G101" s="1223">
        <v>73</v>
      </c>
    </row>
    <row r="102" spans="1:7">
      <c r="A102" s="1207"/>
      <c r="B102" s="741" t="s">
        <v>423</v>
      </c>
      <c r="C102" s="770">
        <v>909</v>
      </c>
      <c r="D102" s="991">
        <v>75</v>
      </c>
      <c r="E102" s="1209"/>
      <c r="F102" s="1212"/>
      <c r="G102" s="1223"/>
    </row>
    <row r="103" spans="1:7">
      <c r="A103" s="1207" t="s">
        <v>12</v>
      </c>
      <c r="B103" s="741" t="s">
        <v>422</v>
      </c>
      <c r="C103" s="770">
        <v>390</v>
      </c>
      <c r="D103" s="991">
        <v>69</v>
      </c>
      <c r="E103" s="1209">
        <v>1306</v>
      </c>
      <c r="F103" s="1212"/>
      <c r="G103" s="1223">
        <v>74</v>
      </c>
    </row>
    <row r="104" spans="1:7">
      <c r="A104" s="1207"/>
      <c r="B104" s="741" t="s">
        <v>423</v>
      </c>
      <c r="C104" s="770">
        <v>916</v>
      </c>
      <c r="D104" s="991">
        <v>76</v>
      </c>
      <c r="E104" s="1209"/>
      <c r="F104" s="1212"/>
      <c r="G104" s="1223"/>
    </row>
    <row r="105" spans="1:7">
      <c r="A105" s="1207" t="s">
        <v>415</v>
      </c>
      <c r="B105" s="741" t="s">
        <v>422</v>
      </c>
      <c r="C105" s="770">
        <v>380</v>
      </c>
      <c r="D105" s="991">
        <v>68</v>
      </c>
      <c r="E105" s="1209">
        <v>1280</v>
      </c>
      <c r="F105" s="1212"/>
      <c r="G105" s="1223">
        <v>73</v>
      </c>
    </row>
    <row r="106" spans="1:7">
      <c r="A106" s="1207"/>
      <c r="B106" s="741" t="s">
        <v>423</v>
      </c>
      <c r="C106" s="770">
        <v>900</v>
      </c>
      <c r="D106" s="991">
        <v>75</v>
      </c>
      <c r="E106" s="1209"/>
      <c r="F106" s="1212"/>
      <c r="G106" s="1223"/>
    </row>
    <row r="107" spans="1:7">
      <c r="A107" s="1207" t="s">
        <v>14</v>
      </c>
      <c r="B107" s="741" t="s">
        <v>422</v>
      </c>
      <c r="C107" s="770">
        <v>290</v>
      </c>
      <c r="D107" s="991">
        <v>52</v>
      </c>
      <c r="E107" s="1209">
        <v>586</v>
      </c>
      <c r="F107" s="1212"/>
      <c r="G107" s="1222">
        <v>33</v>
      </c>
    </row>
    <row r="108" spans="1:7">
      <c r="A108" s="1207"/>
      <c r="B108" s="741" t="s">
        <v>423</v>
      </c>
      <c r="C108" s="770">
        <v>296</v>
      </c>
      <c r="D108" s="991">
        <v>25</v>
      </c>
      <c r="E108" s="1209"/>
      <c r="F108" s="1212"/>
      <c r="G108" s="1222"/>
    </row>
    <row r="109" spans="1:7">
      <c r="A109" s="1207" t="s">
        <v>15</v>
      </c>
      <c r="B109" s="741" t="s">
        <v>422</v>
      </c>
      <c r="C109" s="770">
        <v>283</v>
      </c>
      <c r="D109" s="991">
        <v>50</v>
      </c>
      <c r="E109" s="1213">
        <v>489</v>
      </c>
      <c r="F109" s="1212"/>
      <c r="G109" s="1223">
        <v>28</v>
      </c>
    </row>
    <row r="110" spans="1:7">
      <c r="A110" s="1207"/>
      <c r="B110" s="741" t="s">
        <v>423</v>
      </c>
      <c r="C110" s="770">
        <v>206</v>
      </c>
      <c r="D110" s="991">
        <v>17</v>
      </c>
      <c r="E110" s="1213"/>
      <c r="F110" s="1212"/>
      <c r="G110" s="1223"/>
    </row>
    <row r="111" spans="1:7">
      <c r="A111" s="1207" t="s">
        <v>416</v>
      </c>
      <c r="B111" s="741" t="s">
        <v>422</v>
      </c>
      <c r="C111" s="770">
        <v>276</v>
      </c>
      <c r="D111" s="991">
        <v>49</v>
      </c>
      <c r="E111" s="1209">
        <v>414</v>
      </c>
      <c r="F111" s="1212"/>
      <c r="G111" s="1222">
        <v>23</v>
      </c>
    </row>
    <row r="112" spans="1:7">
      <c r="A112" s="1207"/>
      <c r="B112" s="741" t="s">
        <v>423</v>
      </c>
      <c r="C112" s="770">
        <v>138</v>
      </c>
      <c r="D112" s="991">
        <v>12</v>
      </c>
      <c r="E112" s="1209"/>
      <c r="F112" s="1212"/>
      <c r="G112" s="1222"/>
    </row>
    <row r="113" spans="1:7">
      <c r="A113" s="1207" t="s">
        <v>417</v>
      </c>
      <c r="B113" s="741" t="s">
        <v>422</v>
      </c>
      <c r="C113" s="770">
        <v>297</v>
      </c>
      <c r="D113" s="991">
        <v>53</v>
      </c>
      <c r="E113" s="1209">
        <v>440</v>
      </c>
      <c r="F113" s="1212"/>
      <c r="G113" s="1222">
        <v>25</v>
      </c>
    </row>
    <row r="114" spans="1:7">
      <c r="A114" s="1207"/>
      <c r="B114" s="741" t="s">
        <v>423</v>
      </c>
      <c r="C114" s="770">
        <v>143</v>
      </c>
      <c r="D114" s="991">
        <v>12</v>
      </c>
      <c r="E114" s="1209"/>
      <c r="F114" s="1212"/>
      <c r="G114" s="1222"/>
    </row>
    <row r="115" spans="1:7">
      <c r="A115" s="1207" t="s">
        <v>46</v>
      </c>
      <c r="B115" s="741" t="s">
        <v>422</v>
      </c>
      <c r="C115" s="770">
        <v>298</v>
      </c>
      <c r="D115" s="991">
        <v>53</v>
      </c>
      <c r="E115" s="1209">
        <v>442</v>
      </c>
      <c r="F115" s="1212"/>
      <c r="G115" s="1222">
        <v>25</v>
      </c>
    </row>
    <row r="116" spans="1:7">
      <c r="A116" s="1207"/>
      <c r="B116" s="741" t="s">
        <v>423</v>
      </c>
      <c r="C116" s="770">
        <v>144</v>
      </c>
      <c r="D116" s="991">
        <v>12</v>
      </c>
      <c r="E116" s="1209"/>
      <c r="F116" s="1212"/>
      <c r="G116" s="1222"/>
    </row>
    <row r="117" spans="1:7">
      <c r="A117" s="1207" t="s">
        <v>47</v>
      </c>
      <c r="B117" s="741" t="s">
        <v>422</v>
      </c>
      <c r="C117" s="770">
        <v>311</v>
      </c>
      <c r="D117" s="991">
        <v>55</v>
      </c>
      <c r="E117" s="1209">
        <v>494</v>
      </c>
      <c r="F117" s="1212"/>
      <c r="G117" s="1222">
        <v>28</v>
      </c>
    </row>
    <row r="118" spans="1:7">
      <c r="A118" s="1207"/>
      <c r="B118" s="741" t="s">
        <v>423</v>
      </c>
      <c r="C118" s="770">
        <v>183</v>
      </c>
      <c r="D118" s="991">
        <v>15</v>
      </c>
      <c r="E118" s="1209"/>
      <c r="F118" s="1212"/>
      <c r="G118" s="1222"/>
    </row>
    <row r="119" spans="1:7">
      <c r="A119" s="1207" t="s">
        <v>48</v>
      </c>
      <c r="B119" s="741" t="s">
        <v>422</v>
      </c>
      <c r="C119" s="770">
        <v>335</v>
      </c>
      <c r="D119" s="991">
        <v>60</v>
      </c>
      <c r="E119" s="1209">
        <v>584</v>
      </c>
      <c r="F119" s="1212"/>
      <c r="G119" s="1222">
        <v>33</v>
      </c>
    </row>
    <row r="120" spans="1:7" ht="15.75" thickBot="1">
      <c r="A120" s="1208"/>
      <c r="B120" s="740" t="s">
        <v>423</v>
      </c>
      <c r="C120" s="771">
        <v>249</v>
      </c>
      <c r="D120" s="992">
        <v>21</v>
      </c>
      <c r="E120" s="1209"/>
      <c r="F120" s="1238"/>
      <c r="G120" s="1237"/>
    </row>
    <row r="121" spans="1:7" ht="28.5" customHeight="1" thickBot="1">
      <c r="A121" s="1228" t="s">
        <v>418</v>
      </c>
      <c r="B121" s="1228"/>
      <c r="C121" s="1228"/>
      <c r="D121" s="1228"/>
      <c r="E121" s="929">
        <v>830.6</v>
      </c>
      <c r="F121" s="766"/>
      <c r="G121" s="765">
        <v>47.1</v>
      </c>
    </row>
    <row r="122" spans="1:7" ht="28.5" customHeight="1" thickTop="1">
      <c r="A122" s="1226" t="s">
        <v>4</v>
      </c>
      <c r="B122" s="1226"/>
      <c r="C122" s="1226"/>
      <c r="D122" s="1226"/>
      <c r="E122" s="1226"/>
      <c r="F122" s="600"/>
      <c r="G122" s="749"/>
    </row>
    <row r="123" spans="1:7" ht="19.5" customHeight="1">
      <c r="A123" s="752"/>
      <c r="B123" s="752"/>
      <c r="C123" s="752"/>
      <c r="D123" s="752"/>
      <c r="E123" s="752"/>
      <c r="F123" s="600"/>
      <c r="G123" s="749"/>
    </row>
    <row r="124" spans="1:7" ht="32.25" customHeight="1">
      <c r="A124" s="1225" t="s">
        <v>228</v>
      </c>
      <c r="B124" s="1225"/>
      <c r="C124" s="1225"/>
      <c r="D124" s="1225"/>
      <c r="E124" s="1225"/>
      <c r="F124" s="610"/>
      <c r="G124" s="767">
        <v>59</v>
      </c>
    </row>
  </sheetData>
  <mergeCells count="174">
    <mergeCell ref="M65:M67"/>
    <mergeCell ref="M68:M70"/>
    <mergeCell ref="M71:M73"/>
    <mergeCell ref="M38:M40"/>
    <mergeCell ref="M41:M43"/>
    <mergeCell ref="M44:M46"/>
    <mergeCell ref="M47:M49"/>
    <mergeCell ref="M50:M52"/>
    <mergeCell ref="M53:M55"/>
    <mergeCell ref="M56:M58"/>
    <mergeCell ref="M59:M61"/>
    <mergeCell ref="M62:M64"/>
    <mergeCell ref="F97:F120"/>
    <mergeCell ref="G97:G98"/>
    <mergeCell ref="G99:G100"/>
    <mergeCell ref="G101:G102"/>
    <mergeCell ref="G103:G104"/>
    <mergeCell ref="G105:G106"/>
    <mergeCell ref="G107:G108"/>
    <mergeCell ref="G109:G110"/>
    <mergeCell ref="G111:G112"/>
    <mergeCell ref="G113:G114"/>
    <mergeCell ref="G115:G116"/>
    <mergeCell ref="G117:G118"/>
    <mergeCell ref="G119:G120"/>
    <mergeCell ref="G24:G25"/>
    <mergeCell ref="G26:G27"/>
    <mergeCell ref="G28:G29"/>
    <mergeCell ref="F71:F82"/>
    <mergeCell ref="G71:G73"/>
    <mergeCell ref="G74:G76"/>
    <mergeCell ref="G77:G79"/>
    <mergeCell ref="G80:G82"/>
    <mergeCell ref="G48:G50"/>
    <mergeCell ref="G51:G53"/>
    <mergeCell ref="G54:G56"/>
    <mergeCell ref="G57:G59"/>
    <mergeCell ref="G60:G62"/>
    <mergeCell ref="A66:G66"/>
    <mergeCell ref="A69:A70"/>
    <mergeCell ref="B69:B70"/>
    <mergeCell ref="C69:C70"/>
    <mergeCell ref="D69:D70"/>
    <mergeCell ref="E69:E70"/>
    <mergeCell ref="F69:F70"/>
    <mergeCell ref="G69:G70"/>
    <mergeCell ref="A54:A56"/>
    <mergeCell ref="E54:E56"/>
    <mergeCell ref="A57:A59"/>
    <mergeCell ref="G6:G7"/>
    <mergeCell ref="G8:G9"/>
    <mergeCell ref="G10:G11"/>
    <mergeCell ref="G12:G13"/>
    <mergeCell ref="G14:G15"/>
    <mergeCell ref="G16:G17"/>
    <mergeCell ref="G18:G19"/>
    <mergeCell ref="G20:G21"/>
    <mergeCell ref="G22:G23"/>
    <mergeCell ref="A122:E122"/>
    <mergeCell ref="A124:E124"/>
    <mergeCell ref="A30:D30"/>
    <mergeCell ref="A83:D83"/>
    <mergeCell ref="A121:D121"/>
    <mergeCell ref="A94:B94"/>
    <mergeCell ref="A68:B68"/>
    <mergeCell ref="A36:B36"/>
    <mergeCell ref="A48:A50"/>
    <mergeCell ref="E48:E50"/>
    <mergeCell ref="A63:E63"/>
    <mergeCell ref="A65:E65"/>
    <mergeCell ref="A80:A82"/>
    <mergeCell ref="E80:E82"/>
    <mergeCell ref="A91:E91"/>
    <mergeCell ref="A84:E84"/>
    <mergeCell ref="A74:A76"/>
    <mergeCell ref="E74:E76"/>
    <mergeCell ref="A77:A79"/>
    <mergeCell ref="E77:E79"/>
    <mergeCell ref="A60:A62"/>
    <mergeCell ref="E60:E62"/>
    <mergeCell ref="A71:A73"/>
    <mergeCell ref="E71:E73"/>
    <mergeCell ref="E45:E47"/>
    <mergeCell ref="F39:F62"/>
    <mergeCell ref="G39:G41"/>
    <mergeCell ref="G42:G44"/>
    <mergeCell ref="G45:G47"/>
    <mergeCell ref="A32:E32"/>
    <mergeCell ref="A33:E33"/>
    <mergeCell ref="A34:G34"/>
    <mergeCell ref="A37:A38"/>
    <mergeCell ref="B37:B38"/>
    <mergeCell ref="C37:C38"/>
    <mergeCell ref="D37:D38"/>
    <mergeCell ref="E37:E38"/>
    <mergeCell ref="F37:F38"/>
    <mergeCell ref="G37:G38"/>
    <mergeCell ref="A39:A41"/>
    <mergeCell ref="E39:E41"/>
    <mergeCell ref="E57:E59"/>
    <mergeCell ref="A51:A53"/>
    <mergeCell ref="E51:E53"/>
    <mergeCell ref="E117:E118"/>
    <mergeCell ref="A117:A118"/>
    <mergeCell ref="E119:E120"/>
    <mergeCell ref="A119:A120"/>
    <mergeCell ref="E113:E114"/>
    <mergeCell ref="A113:A114"/>
    <mergeCell ref="E115:E116"/>
    <mergeCell ref="A115:A116"/>
    <mergeCell ref="E109:E110"/>
    <mergeCell ref="A109:A110"/>
    <mergeCell ref="E111:E112"/>
    <mergeCell ref="A111:A112"/>
    <mergeCell ref="A103:A104"/>
    <mergeCell ref="E105:E106"/>
    <mergeCell ref="A105:A106"/>
    <mergeCell ref="E107:E108"/>
    <mergeCell ref="A107:A108"/>
    <mergeCell ref="E103:E104"/>
    <mergeCell ref="E97:E98"/>
    <mergeCell ref="A97:A98"/>
    <mergeCell ref="E99:E100"/>
    <mergeCell ref="A99:A100"/>
    <mergeCell ref="E101:E102"/>
    <mergeCell ref="A101:A102"/>
    <mergeCell ref="A1:G1"/>
    <mergeCell ref="G4:G5"/>
    <mergeCell ref="E8:E9"/>
    <mergeCell ref="E10:E11"/>
    <mergeCell ref="E12:E13"/>
    <mergeCell ref="E14:E15"/>
    <mergeCell ref="E16:E17"/>
    <mergeCell ref="E18:E19"/>
    <mergeCell ref="E20:E21"/>
    <mergeCell ref="C4:C5"/>
    <mergeCell ref="D4:D5"/>
    <mergeCell ref="B4:B5"/>
    <mergeCell ref="A4:A5"/>
    <mergeCell ref="A20:A21"/>
    <mergeCell ref="E4:E5"/>
    <mergeCell ref="F4:F5"/>
    <mergeCell ref="A6:A7"/>
    <mergeCell ref="A8:A9"/>
    <mergeCell ref="A10:A11"/>
    <mergeCell ref="A12:A13"/>
    <mergeCell ref="A14:A15"/>
    <mergeCell ref="A16:A17"/>
    <mergeCell ref="A18:A19"/>
    <mergeCell ref="E6:E7"/>
    <mergeCell ref="C2:D2"/>
    <mergeCell ref="C35:D35"/>
    <mergeCell ref="C67:D67"/>
    <mergeCell ref="C93:D93"/>
    <mergeCell ref="A92:G92"/>
    <mergeCell ref="A95:A96"/>
    <mergeCell ref="B95:B96"/>
    <mergeCell ref="C95:C96"/>
    <mergeCell ref="D95:D96"/>
    <mergeCell ref="E95:E96"/>
    <mergeCell ref="F95:F96"/>
    <mergeCell ref="G95:G96"/>
    <mergeCell ref="E22:E23"/>
    <mergeCell ref="E24:E25"/>
    <mergeCell ref="E26:E27"/>
    <mergeCell ref="A22:A23"/>
    <mergeCell ref="A24:A25"/>
    <mergeCell ref="A26:A27"/>
    <mergeCell ref="A28:A29"/>
    <mergeCell ref="E28:E29"/>
    <mergeCell ref="F6:F29"/>
    <mergeCell ref="A42:A44"/>
    <mergeCell ref="E42:E44"/>
    <mergeCell ref="A45:A47"/>
  </mergeCells>
  <printOptions horizontalCentered="1"/>
  <pageMargins left="0.31496062992126" right="0.31496062992126" top="0.74803149599999996" bottom="0.74803149606299202" header="0.31496062992126" footer="0.31496062992126"/>
  <pageSetup paperSize="9" scale="85" orientation="landscape" r:id="rId1"/>
  <rowBreaks count="1" manualBreakCount="1">
    <brk id="33" max="6"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E21"/>
  <sheetViews>
    <sheetView rightToLeft="1" view="pageBreakPreview" zoomScale="110" zoomScaleSheetLayoutView="110" workbookViewId="0">
      <selection activeCell="C6" sqref="C6"/>
    </sheetView>
  </sheetViews>
  <sheetFormatPr defaultRowHeight="15"/>
  <cols>
    <col min="1" max="5" width="16.85546875" customWidth="1"/>
  </cols>
  <sheetData>
    <row r="1" spans="1:5" ht="32.25" customHeight="1">
      <c r="A1" s="1202" t="s">
        <v>546</v>
      </c>
      <c r="B1" s="1202"/>
      <c r="C1" s="1202"/>
      <c r="D1" s="1202"/>
      <c r="E1" s="1202"/>
    </row>
    <row r="2" spans="1:5" ht="24.75" customHeight="1" thickBot="1">
      <c r="A2" s="189" t="s">
        <v>384</v>
      </c>
      <c r="B2" s="189"/>
      <c r="E2" s="993" t="s">
        <v>596</v>
      </c>
    </row>
    <row r="3" spans="1:5" ht="27.75" customHeight="1" thickTop="1">
      <c r="A3" s="1240" t="s">
        <v>218</v>
      </c>
      <c r="B3" s="1074" t="s">
        <v>389</v>
      </c>
      <c r="C3" s="1074"/>
      <c r="D3" s="1074"/>
      <c r="E3" s="1240" t="s">
        <v>347</v>
      </c>
    </row>
    <row r="4" spans="1:5" ht="30" customHeight="1">
      <c r="A4" s="1241"/>
      <c r="B4" s="152" t="s">
        <v>344</v>
      </c>
      <c r="C4" s="190" t="s">
        <v>345</v>
      </c>
      <c r="D4" s="190" t="s">
        <v>346</v>
      </c>
      <c r="E4" s="1241"/>
    </row>
    <row r="5" spans="1:5" ht="24.75" customHeight="1">
      <c r="A5" s="191" t="s">
        <v>49</v>
      </c>
      <c r="B5" s="679">
        <v>14.87</v>
      </c>
      <c r="C5" s="679">
        <v>98.67</v>
      </c>
      <c r="D5" s="679">
        <v>125.8</v>
      </c>
      <c r="E5" s="679">
        <f t="shared" ref="E5:E17" si="0">SUM(B5:D5)</f>
        <v>239.34</v>
      </c>
    </row>
    <row r="6" spans="1:5" ht="24.75" customHeight="1">
      <c r="A6" s="192" t="s">
        <v>10</v>
      </c>
      <c r="B6" s="680">
        <v>7.26</v>
      </c>
      <c r="C6" s="680">
        <v>58.16</v>
      </c>
      <c r="D6" s="680">
        <v>76.81</v>
      </c>
      <c r="E6" s="680">
        <f t="shared" si="0"/>
        <v>142.23000000000002</v>
      </c>
    </row>
    <row r="7" spans="1:5" ht="24.75" customHeight="1">
      <c r="A7" s="192" t="s">
        <v>18</v>
      </c>
      <c r="B7" s="680">
        <v>5.81</v>
      </c>
      <c r="C7" s="680">
        <v>60.99</v>
      </c>
      <c r="D7" s="680">
        <v>85.28</v>
      </c>
      <c r="E7" s="680">
        <f t="shared" si="0"/>
        <v>152.07999999999998</v>
      </c>
    </row>
    <row r="8" spans="1:5" ht="24.75" customHeight="1">
      <c r="A8" s="192" t="s">
        <v>12</v>
      </c>
      <c r="B8" s="680">
        <v>9.9</v>
      </c>
      <c r="C8" s="680">
        <v>82.09</v>
      </c>
      <c r="D8" s="680">
        <v>113.94</v>
      </c>
      <c r="E8" s="680">
        <f t="shared" si="0"/>
        <v>205.93</v>
      </c>
    </row>
    <row r="9" spans="1:5" ht="24.75" customHeight="1">
      <c r="A9" s="192" t="s">
        <v>13</v>
      </c>
      <c r="B9" s="680">
        <v>18.05</v>
      </c>
      <c r="C9" s="680">
        <v>75.91</v>
      </c>
      <c r="D9" s="680">
        <v>84.85</v>
      </c>
      <c r="E9" s="680">
        <f t="shared" si="0"/>
        <v>178.81</v>
      </c>
    </row>
    <row r="10" spans="1:5" ht="24.75" customHeight="1">
      <c r="A10" s="192" t="s">
        <v>14</v>
      </c>
      <c r="B10" s="680">
        <v>8.14</v>
      </c>
      <c r="C10" s="680">
        <v>54.2</v>
      </c>
      <c r="D10" s="680">
        <v>58.14</v>
      </c>
      <c r="E10" s="680">
        <f t="shared" si="0"/>
        <v>120.48</v>
      </c>
    </row>
    <row r="11" spans="1:5" ht="24.75" customHeight="1">
      <c r="A11" s="192" t="s">
        <v>15</v>
      </c>
      <c r="B11" s="680">
        <v>7.74</v>
      </c>
      <c r="C11" s="680">
        <v>53.84</v>
      </c>
      <c r="D11" s="680">
        <v>43.74</v>
      </c>
      <c r="E11" s="680">
        <f t="shared" si="0"/>
        <v>105.32000000000001</v>
      </c>
    </row>
    <row r="12" spans="1:5" ht="24.75" customHeight="1">
      <c r="A12" s="192" t="s">
        <v>19</v>
      </c>
      <c r="B12" s="681">
        <v>6.48</v>
      </c>
      <c r="C12" s="681">
        <v>55.74</v>
      </c>
      <c r="D12" s="681">
        <v>46.85</v>
      </c>
      <c r="E12" s="680">
        <f t="shared" si="0"/>
        <v>109.07</v>
      </c>
    </row>
    <row r="13" spans="1:5" ht="24.75" customHeight="1">
      <c r="A13" s="192" t="s">
        <v>17</v>
      </c>
      <c r="B13" s="680">
        <v>2.33</v>
      </c>
      <c r="C13" s="680">
        <v>51.09</v>
      </c>
      <c r="D13" s="680">
        <v>61.95</v>
      </c>
      <c r="E13" s="680">
        <f t="shared" si="0"/>
        <v>115.37</v>
      </c>
    </row>
    <row r="14" spans="1:5" ht="24.75" customHeight="1">
      <c r="A14" s="193" t="s">
        <v>169</v>
      </c>
      <c r="B14" s="680">
        <v>4.18</v>
      </c>
      <c r="C14" s="680">
        <v>45.16</v>
      </c>
      <c r="D14" s="680">
        <v>43.36</v>
      </c>
      <c r="E14" s="680">
        <f t="shared" si="0"/>
        <v>92.699999999999989</v>
      </c>
    </row>
    <row r="15" spans="1:5" ht="24.75" customHeight="1">
      <c r="A15" s="193" t="s">
        <v>47</v>
      </c>
      <c r="B15" s="680">
        <v>6.09</v>
      </c>
      <c r="C15" s="680">
        <v>37.43</v>
      </c>
      <c r="D15" s="680">
        <v>45.44</v>
      </c>
      <c r="E15" s="682">
        <f t="shared" si="0"/>
        <v>88.96</v>
      </c>
    </row>
    <row r="16" spans="1:5" ht="24.75" customHeight="1">
      <c r="A16" s="194" t="s">
        <v>170</v>
      </c>
      <c r="B16" s="681">
        <v>29.62</v>
      </c>
      <c r="C16" s="681">
        <v>65.489999999999995</v>
      </c>
      <c r="D16" s="681">
        <v>65.22</v>
      </c>
      <c r="E16" s="681">
        <f t="shared" si="0"/>
        <v>160.32999999999998</v>
      </c>
    </row>
    <row r="17" spans="1:5" ht="24.75" customHeight="1" thickBot="1">
      <c r="A17" s="266" t="s">
        <v>452</v>
      </c>
      <c r="B17" s="683">
        <f>SUM(B5:B16)</f>
        <v>120.47</v>
      </c>
      <c r="C17" s="592">
        <f>SUM(C5:C16)</f>
        <v>738.76999999999987</v>
      </c>
      <c r="D17" s="683">
        <f>SUM(D5:D16)</f>
        <v>851.38000000000011</v>
      </c>
      <c r="E17" s="683">
        <f t="shared" si="0"/>
        <v>1710.62</v>
      </c>
    </row>
    <row r="18" spans="1:5" ht="24.75" customHeight="1" thickTop="1">
      <c r="A18" s="1113" t="s">
        <v>4</v>
      </c>
      <c r="B18" s="1113"/>
      <c r="C18" s="1113"/>
      <c r="D18" s="147"/>
    </row>
    <row r="19" spans="1:5" ht="35.25" customHeight="1">
      <c r="D19" s="412"/>
      <c r="E19" s="412"/>
    </row>
    <row r="20" spans="1:5" ht="42.75" customHeight="1"/>
    <row r="21" spans="1:5" ht="24.75" customHeight="1">
      <c r="A21" s="404" t="s">
        <v>204</v>
      </c>
      <c r="B21" s="188"/>
      <c r="C21" s="188"/>
      <c r="D21" s="37"/>
      <c r="E21" s="866">
        <v>60</v>
      </c>
    </row>
  </sheetData>
  <mergeCells count="5">
    <mergeCell ref="E3:E4"/>
    <mergeCell ref="A1:E1"/>
    <mergeCell ref="B3:D3"/>
    <mergeCell ref="A3:A4"/>
    <mergeCell ref="A18:C18"/>
  </mergeCells>
  <printOptions horizontalCentered="1"/>
  <pageMargins left="0.51181102362204722" right="0.51181102362204722" top="0.55118110236220474" bottom="0.55118110236220474" header="0.31496062992125984" footer="0.31496062992125984"/>
  <pageSetup paperSize="9" scale="9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N28"/>
  <sheetViews>
    <sheetView rightToLeft="1" view="pageBreakPreview" zoomScaleNormal="120" zoomScaleSheetLayoutView="100" workbookViewId="0">
      <selection activeCell="G13" sqref="G13"/>
    </sheetView>
  </sheetViews>
  <sheetFormatPr defaultColWidth="9.140625" defaultRowHeight="15"/>
  <cols>
    <col min="1" max="1" width="4.28515625" style="1" customWidth="1"/>
    <col min="2" max="2" width="14.85546875" style="1" customWidth="1"/>
    <col min="3" max="5" width="16" style="1" customWidth="1"/>
    <col min="6" max="6" width="16.7109375" style="1" customWidth="1"/>
    <col min="7" max="8" width="16" style="1" customWidth="1"/>
    <col min="9" max="16384" width="9.140625" style="1"/>
  </cols>
  <sheetData>
    <row r="1" spans="1:14" ht="28.5" customHeight="1">
      <c r="A1" s="1093" t="s">
        <v>518</v>
      </c>
      <c r="B1" s="1093"/>
      <c r="C1" s="1093"/>
      <c r="D1" s="1093"/>
      <c r="E1" s="1093"/>
      <c r="F1" s="1093"/>
      <c r="G1" s="1093"/>
      <c r="H1" s="1093"/>
    </row>
    <row r="2" spans="1:14" ht="24.75" customHeight="1" thickBot="1">
      <c r="A2" s="1096" t="s">
        <v>335</v>
      </c>
      <c r="B2" s="1096"/>
      <c r="C2" s="502"/>
      <c r="D2" s="502"/>
      <c r="E2" s="502"/>
      <c r="F2" s="502"/>
      <c r="G2" s="502"/>
      <c r="H2" s="502"/>
    </row>
    <row r="3" spans="1:14" ht="22.5" customHeight="1" thickTop="1">
      <c r="A3" s="1097" t="s">
        <v>57</v>
      </c>
      <c r="B3" s="1097"/>
      <c r="C3" s="1099" t="s">
        <v>608</v>
      </c>
      <c r="D3" s="1099"/>
      <c r="E3" s="1099"/>
      <c r="F3" s="1099"/>
      <c r="G3" s="1099"/>
      <c r="H3" s="1094" t="s">
        <v>198</v>
      </c>
    </row>
    <row r="4" spans="1:14" ht="22.5" customHeight="1">
      <c r="A4" s="1098"/>
      <c r="B4" s="1098"/>
      <c r="C4" s="725" t="s">
        <v>355</v>
      </c>
      <c r="D4" s="725" t="s">
        <v>262</v>
      </c>
      <c r="E4" s="725" t="s">
        <v>356</v>
      </c>
      <c r="F4" s="725" t="s">
        <v>357</v>
      </c>
      <c r="G4" s="725" t="s">
        <v>23</v>
      </c>
      <c r="H4" s="1095"/>
    </row>
    <row r="5" spans="1:14" ht="22.5" customHeight="1">
      <c r="A5" s="1100" t="s">
        <v>58</v>
      </c>
      <c r="B5" s="1100"/>
      <c r="C5" s="582">
        <v>65448328</v>
      </c>
      <c r="D5" s="582">
        <v>809277075</v>
      </c>
      <c r="E5" s="582">
        <v>4932000</v>
      </c>
      <c r="F5" s="582">
        <v>0</v>
      </c>
      <c r="G5" s="582">
        <f t="shared" ref="G5" si="0">SUM(C5:F5)</f>
        <v>879657403</v>
      </c>
      <c r="H5" s="528">
        <f>G5/$G$20*100</f>
        <v>2.3548033818894925</v>
      </c>
    </row>
    <row r="6" spans="1:14" ht="22.5" customHeight="1">
      <c r="A6" s="1087" t="s">
        <v>59</v>
      </c>
      <c r="B6" s="1087"/>
      <c r="C6" s="582">
        <v>1292886488</v>
      </c>
      <c r="D6" s="582">
        <v>325269079</v>
      </c>
      <c r="E6" s="582">
        <v>126144000</v>
      </c>
      <c r="F6" s="582">
        <v>0</v>
      </c>
      <c r="G6" s="582">
        <f t="shared" ref="G6:G19" si="1">SUM(C6:F6)</f>
        <v>1744299567</v>
      </c>
      <c r="H6" s="528">
        <f t="shared" ref="H6:H19" si="2">G6/$G$20*100</f>
        <v>4.6694116429779848</v>
      </c>
    </row>
    <row r="7" spans="1:14" ht="22.5" customHeight="1">
      <c r="A7" s="1087" t="s">
        <v>60</v>
      </c>
      <c r="B7" s="1087"/>
      <c r="C7" s="582">
        <v>1682590109</v>
      </c>
      <c r="D7" s="582">
        <v>302745600</v>
      </c>
      <c r="E7" s="582">
        <v>28122227</v>
      </c>
      <c r="F7" s="582">
        <v>0</v>
      </c>
      <c r="G7" s="582">
        <f t="shared" si="1"/>
        <v>2013457936</v>
      </c>
      <c r="H7" s="528">
        <f t="shared" si="2"/>
        <v>5.3899365148468341</v>
      </c>
    </row>
    <row r="8" spans="1:14" ht="22.5" customHeight="1">
      <c r="A8" s="1087" t="s">
        <v>296</v>
      </c>
      <c r="B8" s="1087"/>
      <c r="C8" s="582">
        <v>910904250</v>
      </c>
      <c r="D8" s="582">
        <v>208758908</v>
      </c>
      <c r="E8" s="582">
        <v>12078720</v>
      </c>
      <c r="F8" s="582">
        <v>0</v>
      </c>
      <c r="G8" s="582">
        <f t="shared" si="1"/>
        <v>1131741878</v>
      </c>
      <c r="H8" s="528">
        <f t="shared" si="2"/>
        <v>3.0296222059309668</v>
      </c>
    </row>
    <row r="9" spans="1:14" ht="22.5" customHeight="1">
      <c r="A9" s="1087" t="s">
        <v>30</v>
      </c>
      <c r="B9" s="1087"/>
      <c r="C9" s="582">
        <v>1348574460</v>
      </c>
      <c r="D9" s="582">
        <v>1658124000</v>
      </c>
      <c r="E9" s="582">
        <v>42923520</v>
      </c>
      <c r="F9" s="582">
        <v>0</v>
      </c>
      <c r="G9" s="582">
        <f t="shared" si="1"/>
        <v>3049621980</v>
      </c>
      <c r="H9" s="528">
        <f t="shared" si="2"/>
        <v>8.1637011494445755</v>
      </c>
      <c r="N9" s="1">
        <f>C20/G20*100</f>
        <v>65.04031170258429</v>
      </c>
    </row>
    <row r="10" spans="1:14" ht="22.5" customHeight="1">
      <c r="A10" s="1087" t="s">
        <v>64</v>
      </c>
      <c r="B10" s="1087"/>
      <c r="C10" s="582">
        <v>2016959434</v>
      </c>
      <c r="D10" s="582">
        <v>790333795</v>
      </c>
      <c r="E10" s="582">
        <v>22500531</v>
      </c>
      <c r="F10" s="582">
        <v>0</v>
      </c>
      <c r="G10" s="582">
        <f t="shared" si="1"/>
        <v>2829793760</v>
      </c>
      <c r="H10" s="528">
        <f t="shared" si="2"/>
        <v>7.5752308721237265</v>
      </c>
      <c r="N10" s="1">
        <f>E20/G20*100</f>
        <v>4.1904264004067517</v>
      </c>
    </row>
    <row r="11" spans="1:14" ht="22.5" customHeight="1">
      <c r="A11" s="1087" t="s">
        <v>56</v>
      </c>
      <c r="B11" s="1087"/>
      <c r="C11" s="582">
        <v>634721658.39999998</v>
      </c>
      <c r="D11" s="582">
        <v>240501614.40000001</v>
      </c>
      <c r="E11" s="582">
        <v>18385488</v>
      </c>
      <c r="F11" s="582">
        <v>0</v>
      </c>
      <c r="G11" s="582">
        <f t="shared" si="1"/>
        <v>893608760.79999995</v>
      </c>
      <c r="H11" s="528">
        <f t="shared" si="2"/>
        <v>2.3921505404734464</v>
      </c>
      <c r="N11" s="1">
        <f>E20/G20*100</f>
        <v>4.1904264004067517</v>
      </c>
    </row>
    <row r="12" spans="1:14" ht="22.5" customHeight="1">
      <c r="A12" s="1087" t="s">
        <v>63</v>
      </c>
      <c r="B12" s="1087"/>
      <c r="C12" s="582">
        <v>5000164992</v>
      </c>
      <c r="D12" s="582">
        <v>328320000</v>
      </c>
      <c r="E12" s="582">
        <v>126144000</v>
      </c>
      <c r="F12" s="582">
        <v>0</v>
      </c>
      <c r="G12" s="582">
        <f t="shared" si="1"/>
        <v>5454628992</v>
      </c>
      <c r="H12" s="528">
        <f t="shared" si="2"/>
        <v>14.601796964941899</v>
      </c>
    </row>
    <row r="13" spans="1:14" ht="22.5" customHeight="1">
      <c r="A13" s="1087" t="s">
        <v>61</v>
      </c>
      <c r="B13" s="1087"/>
      <c r="C13" s="582">
        <v>2438297336</v>
      </c>
      <c r="D13" s="582">
        <v>747964944</v>
      </c>
      <c r="E13" s="582">
        <v>101468160</v>
      </c>
      <c r="F13" s="582">
        <v>0</v>
      </c>
      <c r="G13" s="582">
        <f t="shared" si="1"/>
        <v>3287730440</v>
      </c>
      <c r="H13" s="528">
        <f t="shared" si="2"/>
        <v>8.801106808684505</v>
      </c>
    </row>
    <row r="14" spans="1:14" ht="22.5" customHeight="1">
      <c r="A14" s="1087" t="s">
        <v>65</v>
      </c>
      <c r="B14" s="1087"/>
      <c r="C14" s="582">
        <v>1028371508</v>
      </c>
      <c r="D14" s="582">
        <v>133083371.5</v>
      </c>
      <c r="E14" s="582">
        <v>48393953.280000001</v>
      </c>
      <c r="F14" s="582">
        <v>0</v>
      </c>
      <c r="G14" s="582">
        <f t="shared" si="1"/>
        <v>1209848832.78</v>
      </c>
      <c r="H14" s="528">
        <f t="shared" si="2"/>
        <v>3.2387110178226952</v>
      </c>
    </row>
    <row r="15" spans="1:14" ht="22.5" customHeight="1">
      <c r="A15" s="1087" t="s">
        <v>66</v>
      </c>
      <c r="B15" s="1087"/>
      <c r="C15" s="582">
        <v>2016686591</v>
      </c>
      <c r="D15" s="582">
        <v>328037869.39999998</v>
      </c>
      <c r="E15" s="582">
        <v>67600548.480000004</v>
      </c>
      <c r="F15" s="582">
        <v>0</v>
      </c>
      <c r="G15" s="582">
        <f t="shared" si="1"/>
        <v>2412325008.8800001</v>
      </c>
      <c r="H15" s="528">
        <f t="shared" si="2"/>
        <v>6.4576857646558379</v>
      </c>
    </row>
    <row r="16" spans="1:14" ht="22.5" customHeight="1">
      <c r="A16" s="1087" t="s">
        <v>67</v>
      </c>
      <c r="B16" s="1087"/>
      <c r="C16" s="582">
        <v>643312044.29999995</v>
      </c>
      <c r="D16" s="582">
        <v>122834384.2</v>
      </c>
      <c r="E16" s="582">
        <v>12528952.699999999</v>
      </c>
      <c r="F16" s="582">
        <v>0</v>
      </c>
      <c r="G16" s="582">
        <f t="shared" si="1"/>
        <v>778675381.20000005</v>
      </c>
      <c r="H16" s="528">
        <f t="shared" si="2"/>
        <v>2.0844790423981117</v>
      </c>
      <c r="M16" s="4">
        <f>C20/G20*100</f>
        <v>65.04031170258429</v>
      </c>
    </row>
    <row r="17" spans="1:8" ht="22.5" customHeight="1">
      <c r="A17" s="1087" t="s">
        <v>68</v>
      </c>
      <c r="B17" s="1087"/>
      <c r="C17" s="582">
        <v>2493031263</v>
      </c>
      <c r="D17" s="582">
        <v>836934050</v>
      </c>
      <c r="E17" s="582">
        <v>369256800</v>
      </c>
      <c r="F17" s="975">
        <v>2034925979</v>
      </c>
      <c r="G17" s="582">
        <f t="shared" si="1"/>
        <v>5734148092</v>
      </c>
      <c r="H17" s="528">
        <f t="shared" si="2"/>
        <v>15.35005704862667</v>
      </c>
    </row>
    <row r="18" spans="1:8" ht="22.5" customHeight="1">
      <c r="A18" s="1087" t="s">
        <v>69</v>
      </c>
      <c r="B18" s="1087"/>
      <c r="C18" s="582">
        <v>2557705600</v>
      </c>
      <c r="D18" s="582">
        <v>315360000</v>
      </c>
      <c r="E18" s="582">
        <v>189216000</v>
      </c>
      <c r="F18" s="975">
        <v>152452600</v>
      </c>
      <c r="G18" s="582">
        <f t="shared" si="1"/>
        <v>3214734200</v>
      </c>
      <c r="H18" s="528">
        <f t="shared" si="2"/>
        <v>8.6056991508497678</v>
      </c>
    </row>
    <row r="19" spans="1:8" ht="22.5" customHeight="1">
      <c r="A19" s="1091" t="s">
        <v>70</v>
      </c>
      <c r="B19" s="1091"/>
      <c r="C19" s="976">
        <v>166723344</v>
      </c>
      <c r="D19" s="976">
        <v>827574299</v>
      </c>
      <c r="E19" s="976">
        <v>395675540</v>
      </c>
      <c r="F19" s="977">
        <v>1331629380</v>
      </c>
      <c r="G19" s="976">
        <f t="shared" si="1"/>
        <v>2721602563</v>
      </c>
      <c r="H19" s="719">
        <f t="shared" si="2"/>
        <v>7.2856078942264189</v>
      </c>
    </row>
    <row r="20" spans="1:8" ht="22.5" customHeight="1" thickBot="1">
      <c r="A20" s="1089" t="s">
        <v>450</v>
      </c>
      <c r="B20" s="1089"/>
      <c r="C20" s="930">
        <f>SUM(C5:C19)</f>
        <v>24296377405.700001</v>
      </c>
      <c r="D20" s="930">
        <f>SUM(D5:D19)</f>
        <v>7975118989.499999</v>
      </c>
      <c r="E20" s="930">
        <v>1565370439.5</v>
      </c>
      <c r="F20" s="720">
        <f>SUM(F5:F19)</f>
        <v>3519007959</v>
      </c>
      <c r="G20" s="930">
        <v>37355874794.699997</v>
      </c>
      <c r="H20" s="529">
        <f>SUM(H5:H19)</f>
        <v>99.999999999892921</v>
      </c>
    </row>
    <row r="21" spans="1:8" ht="5.25" customHeight="1" thickTop="1">
      <c r="A21" s="500"/>
      <c r="B21" s="501"/>
      <c r="C21" s="501"/>
      <c r="D21" s="501"/>
      <c r="E21" s="501"/>
      <c r="F21" s="501"/>
      <c r="G21" s="501"/>
      <c r="H21" s="501"/>
    </row>
    <row r="22" spans="1:8" customFormat="1" ht="15.75" customHeight="1">
      <c r="A22" s="1086" t="s">
        <v>368</v>
      </c>
      <c r="B22" s="1086"/>
      <c r="C22" s="1086"/>
      <c r="D22" s="1000"/>
      <c r="E22" s="1000"/>
      <c r="F22" s="1000"/>
      <c r="G22" s="1000"/>
      <c r="H22" s="1000"/>
    </row>
    <row r="23" spans="1:8" customFormat="1">
      <c r="A23" s="1001" t="s">
        <v>350</v>
      </c>
      <c r="B23" s="1086" t="s">
        <v>569</v>
      </c>
      <c r="C23" s="1086"/>
      <c r="D23" s="1086"/>
      <c r="E23" s="1086"/>
      <c r="F23" s="1086"/>
      <c r="G23" s="1000"/>
      <c r="H23" s="1000"/>
    </row>
    <row r="24" spans="1:8" customFormat="1">
      <c r="A24" s="1001" t="s">
        <v>350</v>
      </c>
      <c r="B24" s="1092" t="s">
        <v>570</v>
      </c>
      <c r="C24" s="1092"/>
      <c r="D24" s="1092"/>
      <c r="E24" s="1092"/>
      <c r="F24" s="1092"/>
      <c r="G24" s="1000"/>
      <c r="H24" s="1000"/>
    </row>
    <row r="25" spans="1:8" customFormat="1" ht="10.5" customHeight="1">
      <c r="A25" s="1001"/>
      <c r="B25" s="1092"/>
      <c r="C25" s="1092"/>
      <c r="D25" s="1092"/>
      <c r="E25" s="1092"/>
      <c r="F25" s="1092"/>
      <c r="G25" s="1000"/>
      <c r="H25" s="1000"/>
    </row>
    <row r="26" spans="1:8" ht="24" customHeight="1">
      <c r="A26" s="1090" t="s">
        <v>4</v>
      </c>
      <c r="B26" s="1090"/>
      <c r="C26" s="1090"/>
      <c r="D26" s="1090"/>
      <c r="E26" s="1090"/>
      <c r="F26" s="1090"/>
      <c r="G26" s="1090"/>
      <c r="H26" s="1090"/>
    </row>
    <row r="27" spans="1:8" s="973" customFormat="1" ht="5.25" customHeight="1">
      <c r="A27" s="972"/>
      <c r="B27" s="972"/>
      <c r="C27" s="972"/>
      <c r="D27" s="972"/>
      <c r="E27" s="972"/>
      <c r="F27" s="972"/>
      <c r="G27" s="972"/>
      <c r="H27" s="972"/>
    </row>
    <row r="28" spans="1:8" ht="17.25" customHeight="1">
      <c r="A28" s="1088" t="s">
        <v>204</v>
      </c>
      <c r="B28" s="1088"/>
      <c r="C28" s="1088"/>
      <c r="D28" s="1088"/>
      <c r="E28" s="503"/>
      <c r="F28" s="503"/>
      <c r="G28" s="503"/>
      <c r="H28" s="631">
        <v>23</v>
      </c>
    </row>
  </sheetData>
  <mergeCells count="26">
    <mergeCell ref="A15:B15"/>
    <mergeCell ref="A16:B16"/>
    <mergeCell ref="A8:B8"/>
    <mergeCell ref="A9:B9"/>
    <mergeCell ref="A10:B10"/>
    <mergeCell ref="A11:B11"/>
    <mergeCell ref="A12:B12"/>
    <mergeCell ref="A5:B5"/>
    <mergeCell ref="A6:B6"/>
    <mergeCell ref="A7:B7"/>
    <mergeCell ref="A13:B13"/>
    <mergeCell ref="A14:B14"/>
    <mergeCell ref="A1:H1"/>
    <mergeCell ref="H3:H4"/>
    <mergeCell ref="A2:B2"/>
    <mergeCell ref="A3:B4"/>
    <mergeCell ref="C3:G3"/>
    <mergeCell ref="B23:F23"/>
    <mergeCell ref="A17:B17"/>
    <mergeCell ref="A28:D28"/>
    <mergeCell ref="A20:B20"/>
    <mergeCell ref="A26:H26"/>
    <mergeCell ref="A18:B18"/>
    <mergeCell ref="A19:B19"/>
    <mergeCell ref="A22:C22"/>
    <mergeCell ref="B24:F25"/>
  </mergeCells>
  <printOptions horizontalCentered="1"/>
  <pageMargins left="1.45" right="1.45" top="0.5" bottom="0.5" header="0.3" footer="0.3"/>
  <pageSetup paperSize="9" scale="95"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B1:N22"/>
  <sheetViews>
    <sheetView rightToLeft="1" view="pageBreakPreview" zoomScaleSheetLayoutView="100" workbookViewId="0">
      <selection activeCell="B2" sqref="B2:N2"/>
    </sheetView>
  </sheetViews>
  <sheetFormatPr defaultRowHeight="15"/>
  <cols>
    <col min="1" max="1" width="9" customWidth="1"/>
    <col min="2" max="2" width="15.5703125" customWidth="1"/>
    <col min="3" max="15" width="9" customWidth="1"/>
    <col min="26" max="26" width="8.85546875" customWidth="1"/>
  </cols>
  <sheetData>
    <row r="1" spans="2:14" ht="1.5" customHeight="1">
      <c r="B1" s="1118"/>
      <c r="C1" s="1118"/>
      <c r="D1" s="1118"/>
      <c r="E1" s="1118"/>
      <c r="F1" s="1118"/>
      <c r="G1" s="1118"/>
      <c r="H1" s="1118"/>
      <c r="I1" s="1118"/>
      <c r="J1" s="1118"/>
      <c r="K1" s="1118"/>
      <c r="L1" s="1118"/>
      <c r="M1" s="1118"/>
      <c r="N1" s="1118"/>
    </row>
    <row r="2" spans="2:14" ht="30" customHeight="1">
      <c r="B2" s="1072" t="s">
        <v>597</v>
      </c>
      <c r="C2" s="1072"/>
      <c r="D2" s="1072"/>
      <c r="E2" s="1072"/>
      <c r="F2" s="1072"/>
      <c r="G2" s="1072"/>
      <c r="H2" s="1072"/>
      <c r="I2" s="1072"/>
      <c r="J2" s="1072"/>
      <c r="K2" s="1072"/>
      <c r="L2" s="1072"/>
      <c r="M2" s="1072"/>
      <c r="N2" s="1072"/>
    </row>
    <row r="3" spans="2:14" ht="30" customHeight="1" thickBot="1">
      <c r="B3" s="510" t="s">
        <v>385</v>
      </c>
      <c r="C3" s="510"/>
      <c r="D3" s="510"/>
      <c r="F3" s="925"/>
      <c r="G3" s="1242" t="s">
        <v>174</v>
      </c>
      <c r="H3" s="1242"/>
      <c r="I3" s="1242"/>
      <c r="J3" s="925"/>
      <c r="K3" s="1242"/>
      <c r="L3" s="1242"/>
      <c r="M3" s="510"/>
      <c r="N3" s="994" t="s">
        <v>598</v>
      </c>
    </row>
    <row r="4" spans="2:14" ht="29.25" customHeight="1" thickTop="1">
      <c r="B4" s="1068" t="s">
        <v>369</v>
      </c>
      <c r="C4" s="932"/>
      <c r="D4" s="932"/>
      <c r="E4" s="932"/>
      <c r="F4" s="932"/>
      <c r="G4" s="1111" t="s">
        <v>290</v>
      </c>
      <c r="H4" s="1111"/>
      <c r="I4" s="1111"/>
      <c r="J4" s="932"/>
      <c r="K4" s="932"/>
      <c r="L4" s="932"/>
      <c r="M4" s="932"/>
      <c r="N4" s="932"/>
    </row>
    <row r="5" spans="2:14" ht="29.25" customHeight="1">
      <c r="B5" s="1069"/>
      <c r="C5" s="164" t="s">
        <v>565</v>
      </c>
      <c r="D5" s="164" t="s">
        <v>10</v>
      </c>
      <c r="E5" s="164" t="s">
        <v>18</v>
      </c>
      <c r="F5" s="164" t="s">
        <v>12</v>
      </c>
      <c r="G5" s="164" t="s">
        <v>13</v>
      </c>
      <c r="H5" s="164" t="s">
        <v>14</v>
      </c>
      <c r="I5" s="164" t="s">
        <v>15</v>
      </c>
      <c r="J5" s="164" t="s">
        <v>19</v>
      </c>
      <c r="K5" s="164" t="s">
        <v>17</v>
      </c>
      <c r="L5" s="164" t="s">
        <v>171</v>
      </c>
      <c r="M5" s="164" t="s">
        <v>172</v>
      </c>
      <c r="N5" s="164" t="s">
        <v>173</v>
      </c>
    </row>
    <row r="6" spans="2:14" ht="38.25" customHeight="1" thickBot="1">
      <c r="B6" s="316" t="s">
        <v>364</v>
      </c>
      <c r="C6" s="591">
        <v>5.55</v>
      </c>
      <c r="D6" s="591">
        <v>3</v>
      </c>
      <c r="E6" s="591">
        <v>2.17</v>
      </c>
      <c r="F6" s="591">
        <v>3.82</v>
      </c>
      <c r="G6" s="591">
        <v>6.74</v>
      </c>
      <c r="H6" s="591">
        <v>3.14</v>
      </c>
      <c r="I6" s="591">
        <v>2.89</v>
      </c>
      <c r="J6" s="591">
        <v>2.42</v>
      </c>
      <c r="K6" s="591">
        <v>0.9</v>
      </c>
      <c r="L6" s="591">
        <v>1.56</v>
      </c>
      <c r="M6" s="591">
        <v>2.35</v>
      </c>
      <c r="N6" s="591">
        <v>11.06</v>
      </c>
    </row>
    <row r="7" spans="2:14" ht="11.25" customHeight="1" thickTop="1">
      <c r="B7" s="374"/>
      <c r="C7" s="374"/>
      <c r="D7" s="374"/>
      <c r="E7" s="374"/>
      <c r="F7" s="374"/>
      <c r="G7" s="374"/>
      <c r="H7" s="374"/>
      <c r="I7" s="374"/>
      <c r="J7" s="374"/>
      <c r="K7" s="319"/>
      <c r="L7" s="319"/>
      <c r="M7" s="319"/>
      <c r="N7" s="319"/>
    </row>
    <row r="8" spans="2:14" ht="30" customHeight="1" thickBot="1">
      <c r="C8" s="925"/>
      <c r="D8" s="925"/>
      <c r="F8" s="925"/>
      <c r="G8" s="1242" t="s">
        <v>446</v>
      </c>
      <c r="H8" s="1242"/>
      <c r="I8" s="1242"/>
      <c r="J8" s="925"/>
      <c r="K8" s="1242"/>
      <c r="L8" s="1242"/>
      <c r="M8" s="925"/>
      <c r="N8" s="925"/>
    </row>
    <row r="9" spans="2:14" ht="30.75" customHeight="1" thickTop="1">
      <c r="B9" s="1068" t="s">
        <v>369</v>
      </c>
      <c r="C9" s="932"/>
      <c r="D9" s="932"/>
      <c r="E9" s="932"/>
      <c r="F9" s="932"/>
      <c r="G9" s="1111" t="s">
        <v>290</v>
      </c>
      <c r="H9" s="1111"/>
      <c r="I9" s="1111"/>
      <c r="J9" s="932"/>
      <c r="K9" s="932"/>
      <c r="L9" s="932"/>
      <c r="M9" s="932"/>
      <c r="N9" s="932"/>
    </row>
    <row r="10" spans="2:14" ht="29.25" customHeight="1">
      <c r="B10" s="1069"/>
      <c r="C10" s="164" t="s">
        <v>565</v>
      </c>
      <c r="D10" s="165" t="s">
        <v>10</v>
      </c>
      <c r="E10" s="165" t="s">
        <v>18</v>
      </c>
      <c r="F10" s="165" t="s">
        <v>12</v>
      </c>
      <c r="G10" s="165" t="s">
        <v>13</v>
      </c>
      <c r="H10" s="165" t="s">
        <v>14</v>
      </c>
      <c r="I10" s="164" t="s">
        <v>15</v>
      </c>
      <c r="J10" s="165" t="s">
        <v>19</v>
      </c>
      <c r="K10" s="165" t="s">
        <v>17</v>
      </c>
      <c r="L10" s="165" t="s">
        <v>171</v>
      </c>
      <c r="M10" s="165" t="s">
        <v>566</v>
      </c>
      <c r="N10" s="165" t="s">
        <v>173</v>
      </c>
    </row>
    <row r="11" spans="2:14" ht="36" customHeight="1" thickBot="1">
      <c r="B11" s="387" t="s">
        <v>364</v>
      </c>
      <c r="C11" s="591">
        <v>36.840000000000003</v>
      </c>
      <c r="D11" s="591">
        <v>24.04</v>
      </c>
      <c r="E11" s="591">
        <v>22.77</v>
      </c>
      <c r="F11" s="591">
        <v>31.67</v>
      </c>
      <c r="G11" s="591">
        <v>28.34</v>
      </c>
      <c r="H11" s="591">
        <v>20.91</v>
      </c>
      <c r="I11" s="591">
        <v>20.100000000000001</v>
      </c>
      <c r="J11" s="591">
        <v>20.81</v>
      </c>
      <c r="K11" s="591">
        <v>19.71</v>
      </c>
      <c r="L11" s="591">
        <v>16.86</v>
      </c>
      <c r="M11" s="591">
        <v>14.44</v>
      </c>
      <c r="N11" s="591">
        <v>24.45</v>
      </c>
    </row>
    <row r="12" spans="2:14" ht="17.25" customHeight="1" thickTop="1">
      <c r="B12" s="372"/>
      <c r="C12" s="150"/>
      <c r="D12" s="150"/>
      <c r="E12" s="150"/>
      <c r="F12" s="150"/>
      <c r="G12" s="150"/>
      <c r="H12" s="373"/>
      <c r="I12" s="907"/>
      <c r="J12" s="150"/>
      <c r="K12" s="150"/>
      <c r="L12" s="150"/>
      <c r="M12" s="150"/>
      <c r="N12" s="150"/>
    </row>
    <row r="13" spans="2:14" ht="30" customHeight="1" thickBot="1">
      <c r="B13" s="925"/>
      <c r="C13" s="925"/>
      <c r="D13" s="925"/>
      <c r="F13" s="925"/>
      <c r="G13" s="1242" t="s">
        <v>564</v>
      </c>
      <c r="H13" s="1242"/>
      <c r="I13" s="1242"/>
      <c r="J13" s="925"/>
      <c r="K13" s="1242"/>
      <c r="L13" s="1242"/>
      <c r="M13" s="925"/>
      <c r="N13" s="925"/>
    </row>
    <row r="14" spans="2:14" ht="27" customHeight="1" thickTop="1">
      <c r="B14" s="1068" t="s">
        <v>369</v>
      </c>
      <c r="C14" s="932"/>
      <c r="D14" s="932"/>
      <c r="E14" s="932"/>
      <c r="F14" s="932"/>
      <c r="G14" s="1111" t="s">
        <v>290</v>
      </c>
      <c r="H14" s="1111"/>
      <c r="I14" s="1111"/>
      <c r="J14" s="932"/>
      <c r="K14" s="932"/>
      <c r="L14" s="932"/>
      <c r="M14" s="932"/>
      <c r="N14" s="932"/>
    </row>
    <row r="15" spans="2:14" ht="29.25" customHeight="1">
      <c r="B15" s="1069"/>
      <c r="C15" s="164" t="s">
        <v>565</v>
      </c>
      <c r="D15" s="164" t="s">
        <v>10</v>
      </c>
      <c r="E15" s="164" t="s">
        <v>18</v>
      </c>
      <c r="F15" s="164" t="s">
        <v>12</v>
      </c>
      <c r="G15" s="164" t="s">
        <v>13</v>
      </c>
      <c r="H15" s="164" t="s">
        <v>14</v>
      </c>
      <c r="I15" s="164" t="s">
        <v>15</v>
      </c>
      <c r="J15" s="164" t="s">
        <v>19</v>
      </c>
      <c r="K15" s="164" t="s">
        <v>17</v>
      </c>
      <c r="L15" s="164" t="s">
        <v>171</v>
      </c>
      <c r="M15" s="164" t="s">
        <v>172</v>
      </c>
      <c r="N15" s="164" t="s">
        <v>173</v>
      </c>
    </row>
    <row r="16" spans="2:14" ht="38.25" customHeight="1" thickBot="1">
      <c r="B16" s="387" t="s">
        <v>365</v>
      </c>
      <c r="C16" s="591">
        <v>46.97</v>
      </c>
      <c r="D16" s="591">
        <v>31.75</v>
      </c>
      <c r="E16" s="591">
        <v>31.84</v>
      </c>
      <c r="F16" s="591">
        <v>43.96</v>
      </c>
      <c r="G16" s="591">
        <v>31.68</v>
      </c>
      <c r="H16" s="591">
        <v>22.43</v>
      </c>
      <c r="I16" s="591">
        <v>16.329999999999998</v>
      </c>
      <c r="J16" s="591">
        <v>17.489999999999998</v>
      </c>
      <c r="K16" s="591">
        <v>23.9</v>
      </c>
      <c r="L16" s="591">
        <v>16.190000000000001</v>
      </c>
      <c r="M16" s="591">
        <v>17.53</v>
      </c>
      <c r="N16" s="591">
        <v>24.35</v>
      </c>
    </row>
    <row r="17" spans="2:14" ht="30" customHeight="1" thickTop="1">
      <c r="B17" s="1113" t="s">
        <v>4</v>
      </c>
      <c r="C17" s="1113"/>
      <c r="D17" s="1113"/>
      <c r="E17" s="1113"/>
      <c r="F17" s="1113"/>
    </row>
    <row r="19" spans="2:14" ht="24" customHeight="1"/>
    <row r="20" spans="2:14" ht="19.5" customHeight="1"/>
    <row r="22" spans="2:14" ht="27" customHeight="1">
      <c r="B22" s="1243" t="s">
        <v>228</v>
      </c>
      <c r="C22" s="1243"/>
      <c r="D22" s="1243"/>
      <c r="E22" s="1243"/>
      <c r="F22" s="1243"/>
      <c r="G22" s="1243"/>
      <c r="H22" s="1243"/>
      <c r="I22" s="958"/>
      <c r="J22" s="958"/>
      <c r="K22" s="958"/>
      <c r="L22" s="958"/>
      <c r="M22" s="956">
        <v>61</v>
      </c>
      <c r="N22" s="958"/>
    </row>
  </sheetData>
  <mergeCells count="16">
    <mergeCell ref="B22:H22"/>
    <mergeCell ref="B14:B15"/>
    <mergeCell ref="B9:B10"/>
    <mergeCell ref="B17:F17"/>
    <mergeCell ref="K13:L13"/>
    <mergeCell ref="G9:I9"/>
    <mergeCell ref="G14:I14"/>
    <mergeCell ref="G13:I13"/>
    <mergeCell ref="B1:N1"/>
    <mergeCell ref="B2:N2"/>
    <mergeCell ref="B4:B5"/>
    <mergeCell ref="K3:L3"/>
    <mergeCell ref="K8:L8"/>
    <mergeCell ref="G4:I4"/>
    <mergeCell ref="G8:I8"/>
    <mergeCell ref="G3:I3"/>
  </mergeCells>
  <printOptions horizontalCentered="1"/>
  <pageMargins left="0.23622047244094499" right="0.23622047244094499" top="0.511811023622047" bottom="0.511811023622047" header="0.31496062992126" footer="0.31496062992126"/>
  <pageSetup paperSize="9" scale="94"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B1:P25"/>
  <sheetViews>
    <sheetView rightToLeft="1" view="pageBreakPreview" zoomScaleNormal="100" zoomScaleSheetLayoutView="100" workbookViewId="0">
      <selection activeCell="H8" sqref="H8"/>
    </sheetView>
  </sheetViews>
  <sheetFormatPr defaultRowHeight="15"/>
  <cols>
    <col min="2" max="2" width="7.7109375" customWidth="1"/>
    <col min="3" max="3" width="12.42578125" customWidth="1"/>
    <col min="16" max="16" width="9.140625" customWidth="1"/>
  </cols>
  <sheetData>
    <row r="1" spans="2:16" ht="24" customHeight="1">
      <c r="B1" s="1244" t="s">
        <v>547</v>
      </c>
      <c r="C1" s="1244"/>
      <c r="D1" s="1244"/>
      <c r="E1" s="1244"/>
      <c r="F1" s="1244"/>
      <c r="G1" s="1244"/>
      <c r="H1" s="1244"/>
      <c r="I1" s="1244"/>
      <c r="J1" s="1244"/>
      <c r="K1" s="1244"/>
      <c r="L1" s="1244"/>
      <c r="M1" s="1244"/>
      <c r="N1" s="1244"/>
      <c r="O1" s="1244"/>
    </row>
    <row r="2" spans="2:16" ht="24.75" customHeight="1">
      <c r="B2" s="1251" t="s">
        <v>438</v>
      </c>
      <c r="C2" s="1251"/>
      <c r="D2" s="624"/>
      <c r="E2" s="624"/>
      <c r="F2" s="1250" t="s">
        <v>174</v>
      </c>
      <c r="G2" s="1250"/>
      <c r="H2" s="1250"/>
      <c r="I2" s="1250"/>
      <c r="J2" s="1250"/>
      <c r="K2" s="1250"/>
      <c r="L2" s="624"/>
      <c r="M2" s="624"/>
      <c r="N2" s="624"/>
      <c r="O2" s="511" t="s">
        <v>363</v>
      </c>
    </row>
    <row r="3" spans="2:16" ht="19.5" customHeight="1">
      <c r="B3" s="1246" t="s">
        <v>424</v>
      </c>
      <c r="C3" s="1245" t="s">
        <v>218</v>
      </c>
      <c r="D3" s="1245"/>
      <c r="E3" s="1245"/>
      <c r="F3" s="1245"/>
      <c r="G3" s="1245"/>
      <c r="H3" s="1245"/>
      <c r="I3" s="1245"/>
      <c r="J3" s="1245"/>
      <c r="K3" s="1245"/>
      <c r="L3" s="1245"/>
      <c r="M3" s="1245"/>
      <c r="N3" s="1245"/>
      <c r="O3" s="1245"/>
      <c r="P3" s="616"/>
    </row>
    <row r="4" spans="2:16" ht="21.75" customHeight="1">
      <c r="B4" s="1247"/>
      <c r="C4" s="733" t="s">
        <v>425</v>
      </c>
      <c r="D4" s="733" t="s">
        <v>49</v>
      </c>
      <c r="E4" s="733" t="s">
        <v>10</v>
      </c>
      <c r="F4" s="733" t="s">
        <v>18</v>
      </c>
      <c r="G4" s="733" t="s">
        <v>12</v>
      </c>
      <c r="H4" s="733" t="s">
        <v>415</v>
      </c>
      <c r="I4" s="733" t="s">
        <v>14</v>
      </c>
      <c r="J4" s="733" t="s">
        <v>15</v>
      </c>
      <c r="K4" s="733" t="s">
        <v>416</v>
      </c>
      <c r="L4" s="733" t="s">
        <v>417</v>
      </c>
      <c r="M4" s="734" t="s">
        <v>426</v>
      </c>
      <c r="N4" s="734" t="s">
        <v>47</v>
      </c>
      <c r="O4" s="734" t="s">
        <v>48</v>
      </c>
      <c r="P4" s="616"/>
    </row>
    <row r="5" spans="2:16" ht="23.25" customHeight="1">
      <c r="B5" s="619" t="s">
        <v>427</v>
      </c>
      <c r="C5" s="923" t="s">
        <v>567</v>
      </c>
      <c r="D5" s="757">
        <v>0</v>
      </c>
      <c r="E5" s="757">
        <v>0</v>
      </c>
      <c r="F5" s="757">
        <v>0</v>
      </c>
      <c r="G5" s="757">
        <v>0</v>
      </c>
      <c r="H5" s="757">
        <v>0</v>
      </c>
      <c r="I5" s="757">
        <v>0</v>
      </c>
      <c r="J5" s="757">
        <v>0</v>
      </c>
      <c r="K5" s="757">
        <v>0</v>
      </c>
      <c r="L5" s="757">
        <v>0</v>
      </c>
      <c r="M5" s="757">
        <v>0</v>
      </c>
      <c r="N5" s="757">
        <v>0</v>
      </c>
      <c r="O5" s="757">
        <v>0</v>
      </c>
    </row>
    <row r="6" spans="2:16" ht="23.25" customHeight="1">
      <c r="B6" s="620" t="s">
        <v>428</v>
      </c>
      <c r="C6" s="625" t="s">
        <v>429</v>
      </c>
      <c r="D6" s="757">
        <v>0</v>
      </c>
      <c r="E6" s="757">
        <v>0</v>
      </c>
      <c r="F6" s="757">
        <v>0</v>
      </c>
      <c r="G6" s="757">
        <v>0</v>
      </c>
      <c r="H6" s="757">
        <v>0</v>
      </c>
      <c r="I6" s="757">
        <v>0</v>
      </c>
      <c r="J6" s="757">
        <v>0</v>
      </c>
      <c r="K6" s="757">
        <v>0</v>
      </c>
      <c r="L6" s="757">
        <v>0</v>
      </c>
      <c r="M6" s="757">
        <v>0</v>
      </c>
      <c r="N6" s="757">
        <v>0</v>
      </c>
      <c r="O6" s="757">
        <v>0</v>
      </c>
    </row>
    <row r="7" spans="2:16" ht="23.25" customHeight="1">
      <c r="B7" s="922" t="s">
        <v>427</v>
      </c>
      <c r="C7" s="995" t="s">
        <v>568</v>
      </c>
      <c r="D7" s="924">
        <v>5.55</v>
      </c>
      <c r="E7" s="924">
        <v>3</v>
      </c>
      <c r="F7" s="924">
        <v>2.17</v>
      </c>
      <c r="G7" s="924">
        <v>3.82</v>
      </c>
      <c r="H7" s="924">
        <v>6.74</v>
      </c>
      <c r="I7" s="924">
        <v>3.14</v>
      </c>
      <c r="J7" s="924">
        <v>2.89</v>
      </c>
      <c r="K7" s="924">
        <v>2.42</v>
      </c>
      <c r="L7" s="924">
        <v>0.9</v>
      </c>
      <c r="M7" s="924">
        <v>1.56</v>
      </c>
      <c r="N7" s="924">
        <v>2.35</v>
      </c>
      <c r="O7" s="924">
        <v>11.06</v>
      </c>
    </row>
    <row r="8" spans="2:16" ht="22.5" customHeight="1" thickBot="1">
      <c r="B8" s="1248" t="s">
        <v>452</v>
      </c>
      <c r="C8" s="1248"/>
      <c r="D8" s="996">
        <f t="shared" ref="D8:O8" si="0">SUM(D5:D7)</f>
        <v>5.55</v>
      </c>
      <c r="E8" s="996">
        <f t="shared" si="0"/>
        <v>3</v>
      </c>
      <c r="F8" s="996">
        <f t="shared" si="0"/>
        <v>2.17</v>
      </c>
      <c r="G8" s="996">
        <f t="shared" si="0"/>
        <v>3.82</v>
      </c>
      <c r="H8" s="996">
        <f t="shared" si="0"/>
        <v>6.74</v>
      </c>
      <c r="I8" s="996">
        <f t="shared" si="0"/>
        <v>3.14</v>
      </c>
      <c r="J8" s="996">
        <f t="shared" si="0"/>
        <v>2.89</v>
      </c>
      <c r="K8" s="996">
        <f t="shared" si="0"/>
        <v>2.42</v>
      </c>
      <c r="L8" s="996">
        <f t="shared" si="0"/>
        <v>0.9</v>
      </c>
      <c r="M8" s="996">
        <f t="shared" si="0"/>
        <v>1.56</v>
      </c>
      <c r="N8" s="996">
        <f t="shared" si="0"/>
        <v>2.35</v>
      </c>
      <c r="O8" s="996">
        <f t="shared" si="0"/>
        <v>11.06</v>
      </c>
    </row>
    <row r="9" spans="2:16" s="615" customFormat="1" ht="27" customHeight="1" thickTop="1">
      <c r="B9" s="1249" t="s">
        <v>500</v>
      </c>
      <c r="C9" s="1249"/>
      <c r="D9" s="1249"/>
      <c r="E9" s="1249"/>
      <c r="F9" s="1249"/>
      <c r="G9" s="1249"/>
      <c r="H9" s="1249"/>
      <c r="I9" s="1249"/>
      <c r="J9" s="1249"/>
      <c r="K9" s="1249"/>
      <c r="L9" s="1249"/>
      <c r="M9" s="1249"/>
      <c r="N9" s="1249"/>
      <c r="O9" s="1249"/>
    </row>
    <row r="10" spans="2:16" s="615" customFormat="1" ht="21.75" customHeight="1">
      <c r="B10" s="1246" t="s">
        <v>424</v>
      </c>
      <c r="C10" s="1245" t="s">
        <v>218</v>
      </c>
      <c r="D10" s="1245"/>
      <c r="E10" s="1245"/>
      <c r="F10" s="1245"/>
      <c r="G10" s="1245"/>
      <c r="H10" s="1245"/>
      <c r="I10" s="1245"/>
      <c r="J10" s="1245"/>
      <c r="K10" s="1245"/>
      <c r="L10" s="1245"/>
      <c r="M10" s="1245"/>
      <c r="N10" s="1245"/>
      <c r="O10" s="1245"/>
    </row>
    <row r="11" spans="2:16" s="616" customFormat="1" ht="23.25" customHeight="1">
      <c r="B11" s="1247"/>
      <c r="C11" s="733" t="s">
        <v>425</v>
      </c>
      <c r="D11" s="733" t="s">
        <v>49</v>
      </c>
      <c r="E11" s="733" t="s">
        <v>10</v>
      </c>
      <c r="F11" s="733" t="s">
        <v>18</v>
      </c>
      <c r="G11" s="733" t="s">
        <v>12</v>
      </c>
      <c r="H11" s="733" t="s">
        <v>415</v>
      </c>
      <c r="I11" s="733" t="s">
        <v>14</v>
      </c>
      <c r="J11" s="733" t="s">
        <v>15</v>
      </c>
      <c r="K11" s="733" t="s">
        <v>416</v>
      </c>
      <c r="L11" s="733" t="s">
        <v>417</v>
      </c>
      <c r="M11" s="734" t="s">
        <v>426</v>
      </c>
      <c r="N11" s="734" t="s">
        <v>47</v>
      </c>
      <c r="O11" s="734" t="s">
        <v>48</v>
      </c>
    </row>
    <row r="12" spans="2:16" ht="23.25" customHeight="1">
      <c r="B12" s="1253" t="s">
        <v>427</v>
      </c>
      <c r="C12" s="617" t="s">
        <v>430</v>
      </c>
      <c r="D12" s="756">
        <v>3.742</v>
      </c>
      <c r="E12" s="756">
        <v>2.38</v>
      </c>
      <c r="F12" s="755">
        <v>0.98</v>
      </c>
      <c r="G12" s="755">
        <v>2.62</v>
      </c>
      <c r="H12" s="755">
        <v>3.05</v>
      </c>
      <c r="I12" s="756">
        <v>1.47</v>
      </c>
      <c r="J12" s="755">
        <v>1.31</v>
      </c>
      <c r="K12" s="755">
        <v>1.1299999999999999</v>
      </c>
      <c r="L12" s="755">
        <v>0.82</v>
      </c>
      <c r="M12" s="755">
        <v>1.03</v>
      </c>
      <c r="N12" s="755">
        <v>1.77</v>
      </c>
      <c r="O12" s="755">
        <v>4.42</v>
      </c>
    </row>
    <row r="13" spans="2:16" ht="23.25" customHeight="1">
      <c r="B13" s="1254"/>
      <c r="C13" s="618" t="s">
        <v>431</v>
      </c>
      <c r="D13" s="757">
        <v>0</v>
      </c>
      <c r="E13" s="757">
        <v>0</v>
      </c>
      <c r="F13" s="757">
        <v>0</v>
      </c>
      <c r="G13" s="757">
        <v>0</v>
      </c>
      <c r="H13" s="757">
        <v>0</v>
      </c>
      <c r="I13" s="757">
        <v>0</v>
      </c>
      <c r="J13" s="757">
        <v>0</v>
      </c>
      <c r="K13" s="757">
        <v>0</v>
      </c>
      <c r="L13" s="757">
        <v>0</v>
      </c>
      <c r="M13" s="757">
        <v>0</v>
      </c>
      <c r="N13" s="757">
        <v>0</v>
      </c>
      <c r="O13" s="757">
        <v>0</v>
      </c>
    </row>
    <row r="14" spans="2:16" ht="23.25" customHeight="1">
      <c r="B14" s="1255"/>
      <c r="C14" s="640" t="s">
        <v>432</v>
      </c>
      <c r="D14" s="758">
        <v>3.84</v>
      </c>
      <c r="E14" s="758">
        <v>1.37</v>
      </c>
      <c r="F14" s="758">
        <v>0.44</v>
      </c>
      <c r="G14" s="759">
        <v>2.15</v>
      </c>
      <c r="H14" s="758">
        <v>3.52</v>
      </c>
      <c r="I14" s="758">
        <v>2.81</v>
      </c>
      <c r="J14" s="758">
        <v>2.31</v>
      </c>
      <c r="K14" s="758">
        <v>1.49</v>
      </c>
      <c r="L14" s="758">
        <v>0.56000000000000005</v>
      </c>
      <c r="M14" s="758">
        <v>1.06</v>
      </c>
      <c r="N14" s="758">
        <v>0.27</v>
      </c>
      <c r="O14" s="758">
        <v>2.68</v>
      </c>
    </row>
    <row r="15" spans="2:16" ht="27.75" customHeight="1">
      <c r="B15" s="997" t="s">
        <v>433</v>
      </c>
      <c r="C15" s="998" t="s">
        <v>434</v>
      </c>
      <c r="D15" s="760">
        <v>29.26</v>
      </c>
      <c r="E15" s="760">
        <v>20.29</v>
      </c>
      <c r="F15" s="760">
        <v>21.35</v>
      </c>
      <c r="G15" s="761">
        <v>26.9</v>
      </c>
      <c r="H15" s="760">
        <v>21.77</v>
      </c>
      <c r="I15" s="760">
        <v>16.63</v>
      </c>
      <c r="J15" s="760">
        <v>16.48</v>
      </c>
      <c r="K15" s="760">
        <v>18.190000000000001</v>
      </c>
      <c r="L15" s="761">
        <v>18.329999999999998</v>
      </c>
      <c r="M15" s="760">
        <v>14.77</v>
      </c>
      <c r="N15" s="761">
        <v>12.4</v>
      </c>
      <c r="O15" s="760">
        <v>17.350000000000001</v>
      </c>
    </row>
    <row r="16" spans="2:16" ht="22.5" customHeight="1" thickBot="1">
      <c r="B16" s="1248" t="s">
        <v>452</v>
      </c>
      <c r="C16" s="1248"/>
      <c r="D16" s="504">
        <f t="shared" ref="D16:O16" si="1">SUM(D12:D15)</f>
        <v>36.841999999999999</v>
      </c>
      <c r="E16" s="996">
        <f t="shared" si="1"/>
        <v>24.04</v>
      </c>
      <c r="F16" s="504">
        <f t="shared" si="1"/>
        <v>22.770000000000003</v>
      </c>
      <c r="G16" s="504">
        <f t="shared" si="1"/>
        <v>31.669999999999998</v>
      </c>
      <c r="H16" s="504">
        <f t="shared" si="1"/>
        <v>28.34</v>
      </c>
      <c r="I16" s="996">
        <f t="shared" si="1"/>
        <v>20.91</v>
      </c>
      <c r="J16" s="504">
        <f t="shared" si="1"/>
        <v>20.100000000000001</v>
      </c>
      <c r="K16" s="504">
        <f t="shared" si="1"/>
        <v>20.810000000000002</v>
      </c>
      <c r="L16" s="504">
        <f t="shared" si="1"/>
        <v>19.709999999999997</v>
      </c>
      <c r="M16" s="504">
        <f t="shared" si="1"/>
        <v>16.86</v>
      </c>
      <c r="N16" s="504">
        <f t="shared" si="1"/>
        <v>14.440000000000001</v>
      </c>
      <c r="O16" s="504">
        <f t="shared" si="1"/>
        <v>24.450000000000003</v>
      </c>
    </row>
    <row r="17" spans="2:15" s="614" customFormat="1" ht="27" customHeight="1" thickTop="1">
      <c r="B17" s="1252" t="s">
        <v>599</v>
      </c>
      <c r="C17" s="1252"/>
      <c r="D17" s="1252"/>
      <c r="E17" s="1252"/>
      <c r="F17" s="1252"/>
      <c r="G17" s="1252"/>
      <c r="H17" s="1252"/>
      <c r="I17" s="1252"/>
      <c r="J17" s="1252"/>
      <c r="K17" s="1252"/>
      <c r="L17" s="1252"/>
      <c r="M17" s="1252"/>
      <c r="N17" s="1252"/>
      <c r="O17" s="1252"/>
    </row>
    <row r="18" spans="2:15" s="614" customFormat="1" ht="18.75" customHeight="1">
      <c r="B18" s="1246" t="s">
        <v>424</v>
      </c>
      <c r="C18" s="1245" t="s">
        <v>218</v>
      </c>
      <c r="D18" s="1245"/>
      <c r="E18" s="1245"/>
      <c r="F18" s="1245"/>
      <c r="G18" s="1245"/>
      <c r="H18" s="1245"/>
      <c r="I18" s="1245"/>
      <c r="J18" s="1245"/>
      <c r="K18" s="1245"/>
      <c r="L18" s="1245"/>
      <c r="M18" s="1245"/>
      <c r="N18" s="1245"/>
      <c r="O18" s="1245"/>
    </row>
    <row r="19" spans="2:15" s="616" customFormat="1" ht="24" customHeight="1">
      <c r="B19" s="1247"/>
      <c r="C19" s="733" t="s">
        <v>425</v>
      </c>
      <c r="D19" s="733" t="s">
        <v>49</v>
      </c>
      <c r="E19" s="733" t="s">
        <v>10</v>
      </c>
      <c r="F19" s="733" t="s">
        <v>18</v>
      </c>
      <c r="G19" s="733" t="s">
        <v>12</v>
      </c>
      <c r="H19" s="733" t="s">
        <v>415</v>
      </c>
      <c r="I19" s="733" t="s">
        <v>14</v>
      </c>
      <c r="J19" s="733" t="s">
        <v>15</v>
      </c>
      <c r="K19" s="733" t="s">
        <v>416</v>
      </c>
      <c r="L19" s="733" t="s">
        <v>417</v>
      </c>
      <c r="M19" s="734" t="s">
        <v>426</v>
      </c>
      <c r="N19" s="734" t="s">
        <v>47</v>
      </c>
      <c r="O19" s="734" t="s">
        <v>48</v>
      </c>
    </row>
    <row r="20" spans="2:15" ht="24.75" customHeight="1">
      <c r="B20" s="639" t="s">
        <v>433</v>
      </c>
      <c r="C20" s="641" t="s">
        <v>435</v>
      </c>
      <c r="D20" s="760">
        <v>22.97</v>
      </c>
      <c r="E20" s="760">
        <v>10.96</v>
      </c>
      <c r="F20" s="760">
        <v>16.809999999999999</v>
      </c>
      <c r="G20" s="761">
        <v>25.23</v>
      </c>
      <c r="H20" s="760">
        <v>15.87</v>
      </c>
      <c r="I20" s="761">
        <v>13.2</v>
      </c>
      <c r="J20" s="760">
        <v>14.81</v>
      </c>
      <c r="K20" s="760">
        <v>14.84</v>
      </c>
      <c r="L20" s="761">
        <v>16.170000000000002</v>
      </c>
      <c r="M20" s="761">
        <v>11.9</v>
      </c>
      <c r="N20" s="761">
        <v>8.8000000000000007</v>
      </c>
      <c r="O20" s="760">
        <v>16.059999999999999</v>
      </c>
    </row>
    <row r="21" spans="2:15" ht="24.75" customHeight="1">
      <c r="B21" s="995" t="s">
        <v>436</v>
      </c>
      <c r="C21" s="999" t="s">
        <v>437</v>
      </c>
      <c r="D21" s="759">
        <v>24</v>
      </c>
      <c r="E21" s="759">
        <v>20.79</v>
      </c>
      <c r="F21" s="759">
        <v>15.03</v>
      </c>
      <c r="G21" s="759">
        <v>18.73</v>
      </c>
      <c r="H21" s="758">
        <v>15.81</v>
      </c>
      <c r="I21" s="758">
        <v>9.23</v>
      </c>
      <c r="J21" s="758">
        <v>1.52</v>
      </c>
      <c r="K21" s="758">
        <v>2.65</v>
      </c>
      <c r="L21" s="759">
        <v>7.73</v>
      </c>
      <c r="M21" s="758">
        <v>4.29</v>
      </c>
      <c r="N21" s="758">
        <v>8.73</v>
      </c>
      <c r="O21" s="758">
        <v>8.2899999999999991</v>
      </c>
    </row>
    <row r="22" spans="2:15" ht="22.5" customHeight="1" thickBot="1">
      <c r="B22" s="1248" t="s">
        <v>452</v>
      </c>
      <c r="C22" s="1248"/>
      <c r="D22" s="996">
        <f t="shared" ref="D22:O22" si="2">SUM(D20:D21)</f>
        <v>46.97</v>
      </c>
      <c r="E22" s="996">
        <f t="shared" si="2"/>
        <v>31.75</v>
      </c>
      <c r="F22" s="996">
        <f t="shared" si="2"/>
        <v>31.839999999999996</v>
      </c>
      <c r="G22" s="996">
        <f t="shared" si="2"/>
        <v>43.96</v>
      </c>
      <c r="H22" s="996">
        <f t="shared" si="2"/>
        <v>31.68</v>
      </c>
      <c r="I22" s="996">
        <f t="shared" si="2"/>
        <v>22.43</v>
      </c>
      <c r="J22" s="996">
        <f t="shared" si="2"/>
        <v>16.330000000000002</v>
      </c>
      <c r="K22" s="996">
        <f t="shared" si="2"/>
        <v>17.489999999999998</v>
      </c>
      <c r="L22" s="996">
        <f t="shared" si="2"/>
        <v>23.900000000000002</v>
      </c>
      <c r="M22" s="996">
        <f t="shared" si="2"/>
        <v>16.190000000000001</v>
      </c>
      <c r="N22" s="996">
        <f t="shared" si="2"/>
        <v>17.53</v>
      </c>
      <c r="O22" s="996">
        <f t="shared" si="2"/>
        <v>24.349999999999998</v>
      </c>
    </row>
    <row r="23" spans="2:15" s="137" customFormat="1" ht="21" customHeight="1" thickTop="1">
      <c r="B23" s="1226" t="s">
        <v>4</v>
      </c>
      <c r="C23" s="1226"/>
      <c r="D23" s="1226"/>
      <c r="E23" s="1226"/>
      <c r="F23" s="1226"/>
      <c r="G23" s="622"/>
      <c r="H23" s="623"/>
    </row>
    <row r="24" spans="2:15" s="137" customFormat="1" ht="21.75" customHeight="1">
      <c r="B24" s="971"/>
      <c r="C24" s="971"/>
      <c r="D24" s="971"/>
      <c r="E24" s="971"/>
      <c r="F24" s="971"/>
      <c r="G24" s="622"/>
      <c r="H24" s="623"/>
    </row>
    <row r="25" spans="2:15" ht="18" customHeight="1">
      <c r="B25" s="1225" t="s">
        <v>228</v>
      </c>
      <c r="C25" s="1225"/>
      <c r="D25" s="1225"/>
      <c r="E25" s="1225"/>
      <c r="F25" s="1225"/>
      <c r="G25" s="610"/>
      <c r="H25" s="612"/>
      <c r="I25" s="621"/>
      <c r="J25" s="621"/>
      <c r="K25" s="621"/>
      <c r="L25" s="621"/>
      <c r="M25" s="621"/>
      <c r="N25" s="621"/>
      <c r="O25" s="867">
        <v>62</v>
      </c>
    </row>
  </sheetData>
  <mergeCells count="17">
    <mergeCell ref="B18:B19"/>
    <mergeCell ref="C18:O18"/>
    <mergeCell ref="B23:F23"/>
    <mergeCell ref="B25:F25"/>
    <mergeCell ref="B2:C2"/>
    <mergeCell ref="B22:C22"/>
    <mergeCell ref="B16:C16"/>
    <mergeCell ref="B17:O17"/>
    <mergeCell ref="B12:B14"/>
    <mergeCell ref="B1:O1"/>
    <mergeCell ref="C3:O3"/>
    <mergeCell ref="B3:B4"/>
    <mergeCell ref="B10:B11"/>
    <mergeCell ref="C10:O10"/>
    <mergeCell ref="B8:C8"/>
    <mergeCell ref="B9:O9"/>
    <mergeCell ref="F2:K2"/>
  </mergeCells>
  <pageMargins left="0.7" right="0.7" top="0.75" bottom="0.75" header="0.3" footer="0.3"/>
  <pageSetup paperSize="9" scale="87"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G74"/>
  <sheetViews>
    <sheetView rightToLeft="1" view="pageBreakPreview" topLeftCell="A52" zoomScaleNormal="100" zoomScaleSheetLayoutView="100" workbookViewId="0">
      <selection activeCell="E9" sqref="E9"/>
    </sheetView>
  </sheetViews>
  <sheetFormatPr defaultRowHeight="15"/>
  <cols>
    <col min="2" max="2" width="24.140625" customWidth="1"/>
    <col min="3" max="3" width="13.140625" customWidth="1"/>
    <col min="4" max="4" width="13.28515625" customWidth="1"/>
    <col min="5" max="5" width="13.140625" customWidth="1"/>
    <col min="6" max="6" width="14.140625" customWidth="1"/>
    <col min="7" max="7" width="38" customWidth="1"/>
  </cols>
  <sheetData>
    <row r="1" spans="1:7" ht="33.75" customHeight="1">
      <c r="A1" s="1118" t="s">
        <v>647</v>
      </c>
      <c r="B1" s="1118"/>
      <c r="C1" s="1118"/>
      <c r="D1" s="1118"/>
      <c r="E1" s="1118"/>
      <c r="F1" s="1118"/>
      <c r="G1" s="1118"/>
    </row>
    <row r="2" spans="1:7" ht="16.5" thickBot="1">
      <c r="A2" s="1110" t="s">
        <v>548</v>
      </c>
      <c r="B2" s="1110"/>
      <c r="C2" s="1110"/>
      <c r="D2" s="1110"/>
      <c r="E2" s="1110"/>
      <c r="F2" s="1110"/>
    </row>
    <row r="3" spans="1:7" ht="44.25" customHeight="1" thickTop="1">
      <c r="A3" s="1264" t="s">
        <v>453</v>
      </c>
      <c r="B3" s="1264"/>
      <c r="C3" s="743" t="s">
        <v>463</v>
      </c>
      <c r="D3" s="743" t="s">
        <v>465</v>
      </c>
      <c r="E3" s="743" t="s">
        <v>464</v>
      </c>
      <c r="F3" s="743" t="s">
        <v>466</v>
      </c>
      <c r="G3" s="1034" t="s">
        <v>620</v>
      </c>
    </row>
    <row r="4" spans="1:7" ht="33" customHeight="1">
      <c r="A4" s="1263" t="s">
        <v>627</v>
      </c>
      <c r="B4" s="1263"/>
      <c r="C4" s="773">
        <v>18.579999999999998</v>
      </c>
      <c r="D4" s="773">
        <v>49.44</v>
      </c>
      <c r="E4" s="773">
        <v>176.25</v>
      </c>
      <c r="F4" s="773">
        <v>261.13</v>
      </c>
      <c r="G4" s="1035"/>
    </row>
    <row r="5" spans="1:7" ht="21.75" customHeight="1">
      <c r="A5" s="1262" t="s">
        <v>646</v>
      </c>
      <c r="B5" s="1262"/>
      <c r="C5" s="773">
        <v>20.29</v>
      </c>
      <c r="D5" s="773">
        <v>51.09</v>
      </c>
      <c r="E5" s="773">
        <v>182.25</v>
      </c>
      <c r="F5" s="773">
        <v>262.88</v>
      </c>
      <c r="G5" s="1261" t="s">
        <v>628</v>
      </c>
    </row>
    <row r="6" spans="1:7" ht="21.75" customHeight="1">
      <c r="A6" s="1263"/>
      <c r="B6" s="1263"/>
      <c r="C6" s="1036">
        <f>C5/C4-1</f>
        <v>9.2034445640473583E-2</v>
      </c>
      <c r="D6" s="1036">
        <f t="shared" ref="D6:F6" si="0">D5/D4-1</f>
        <v>3.3373786407767003E-2</v>
      </c>
      <c r="E6" s="1036">
        <f t="shared" si="0"/>
        <v>3.4042553191489411E-2</v>
      </c>
      <c r="F6" s="1036">
        <f t="shared" si="0"/>
        <v>6.7016428598782873E-3</v>
      </c>
      <c r="G6" s="1261"/>
    </row>
    <row r="7" spans="1:7" ht="21.75" customHeight="1">
      <c r="A7" s="1262" t="s">
        <v>621</v>
      </c>
      <c r="B7" s="1262"/>
      <c r="C7" s="1049">
        <v>19.5</v>
      </c>
      <c r="D7" s="1049">
        <v>60.9</v>
      </c>
      <c r="E7" s="1049">
        <v>206.6</v>
      </c>
      <c r="F7" s="773">
        <v>319.75</v>
      </c>
      <c r="G7" s="1261" t="s">
        <v>629</v>
      </c>
    </row>
    <row r="8" spans="1:7" ht="21.75" customHeight="1">
      <c r="A8" s="1263"/>
      <c r="B8" s="1263"/>
      <c r="C8" s="1036">
        <f>C7/C4-1</f>
        <v>4.9515608180839665E-2</v>
      </c>
      <c r="D8" s="1036">
        <f t="shared" ref="D8:F8" si="1">D7/D4-1</f>
        <v>0.23179611650485432</v>
      </c>
      <c r="E8" s="1036">
        <f t="shared" si="1"/>
        <v>0.17219858156028356</v>
      </c>
      <c r="F8" s="1036">
        <f t="shared" si="1"/>
        <v>0.22448588825489213</v>
      </c>
      <c r="G8" s="1261"/>
    </row>
    <row r="9" spans="1:7" ht="21.75" customHeight="1">
      <c r="A9" s="1262" t="s">
        <v>622</v>
      </c>
      <c r="B9" s="1262"/>
      <c r="C9" s="773">
        <v>79.540000000000006</v>
      </c>
      <c r="D9" s="1049">
        <v>120.6</v>
      </c>
      <c r="E9" s="1049">
        <v>260.60000000000002</v>
      </c>
      <c r="F9" s="1049">
        <v>525.20000000000005</v>
      </c>
      <c r="G9" s="1261" t="s">
        <v>632</v>
      </c>
    </row>
    <row r="10" spans="1:7" ht="21.75" customHeight="1">
      <c r="A10" s="1263"/>
      <c r="B10" s="1263"/>
      <c r="C10" s="1036">
        <f>C9/C4-1</f>
        <v>3.2809472551130252</v>
      </c>
      <c r="D10" s="1036">
        <f t="shared" ref="D10:F10" si="2">D9/D4-1</f>
        <v>1.4393203883495147</v>
      </c>
      <c r="E10" s="1036">
        <f t="shared" si="2"/>
        <v>0.47858156028368803</v>
      </c>
      <c r="F10" s="1036">
        <f t="shared" si="2"/>
        <v>1.0112587600045955</v>
      </c>
      <c r="G10" s="1261"/>
    </row>
    <row r="11" spans="1:7" ht="34.5" customHeight="1">
      <c r="A11" s="1262" t="s">
        <v>623</v>
      </c>
      <c r="B11" s="1262"/>
      <c r="C11" s="773">
        <v>71.14</v>
      </c>
      <c r="D11" s="773">
        <v>143.66999999999999</v>
      </c>
      <c r="E11" s="773">
        <v>242.29</v>
      </c>
      <c r="F11" s="773">
        <v>751.67</v>
      </c>
      <c r="G11" s="1256" t="s">
        <v>631</v>
      </c>
    </row>
    <row r="12" spans="1:7" ht="34.5" customHeight="1">
      <c r="A12" s="1263"/>
      <c r="B12" s="1263"/>
      <c r="C12" s="1036">
        <f>C11/C4-1</f>
        <v>2.8288482238966632</v>
      </c>
      <c r="D12" s="1036">
        <f t="shared" ref="D12:F12" si="3">D11/D4-1</f>
        <v>1.9059466019417473</v>
      </c>
      <c r="E12" s="1036">
        <f t="shared" si="3"/>
        <v>0.37469503546099281</v>
      </c>
      <c r="F12" s="1036">
        <f t="shared" si="3"/>
        <v>1.8785279362769502</v>
      </c>
      <c r="G12" s="1256"/>
    </row>
    <row r="13" spans="1:7" ht="42.75" customHeight="1">
      <c r="A13" s="1262" t="s">
        <v>624</v>
      </c>
      <c r="B13" s="1262"/>
      <c r="C13" s="773">
        <v>132.94</v>
      </c>
      <c r="D13" s="773">
        <v>241.75</v>
      </c>
      <c r="E13" s="773">
        <v>278.83</v>
      </c>
      <c r="F13" s="773">
        <v>751.67</v>
      </c>
      <c r="G13" s="1256" t="s">
        <v>630</v>
      </c>
    </row>
    <row r="14" spans="1:7" ht="39" customHeight="1" thickBot="1">
      <c r="A14" s="1265"/>
      <c r="B14" s="1265"/>
      <c r="C14" s="1036">
        <f>C13/C4-1</f>
        <v>6.1550053821313249</v>
      </c>
      <c r="D14" s="1036">
        <f t="shared" ref="D14:F14" si="4">D13/D4-1</f>
        <v>3.8897653721682852</v>
      </c>
      <c r="E14" s="1036">
        <f t="shared" si="4"/>
        <v>0.58201418439716313</v>
      </c>
      <c r="F14" s="1036">
        <f t="shared" si="4"/>
        <v>1.8785279362769502</v>
      </c>
      <c r="G14" s="1258"/>
    </row>
    <row r="15" spans="1:7" ht="6" customHeight="1" thickTop="1">
      <c r="A15" s="1135"/>
      <c r="B15" s="1135"/>
      <c r="C15" s="840"/>
      <c r="D15" s="840"/>
      <c r="E15" s="840"/>
      <c r="F15" s="840"/>
      <c r="G15" s="840"/>
    </row>
    <row r="16" spans="1:7" ht="56.25" customHeight="1">
      <c r="A16" s="1267" t="s">
        <v>454</v>
      </c>
      <c r="B16" s="1267"/>
      <c r="C16" s="1267"/>
      <c r="D16" s="1267"/>
      <c r="E16" s="1267"/>
      <c r="F16" s="1267"/>
      <c r="G16" s="1046" t="s">
        <v>634</v>
      </c>
    </row>
    <row r="17" spans="1:7" ht="22.5" customHeight="1">
      <c r="A17" s="1122" t="s">
        <v>204</v>
      </c>
      <c r="B17" s="1122"/>
      <c r="C17" s="1108"/>
      <c r="D17" s="1108"/>
      <c r="E17" s="1108"/>
      <c r="F17" s="753"/>
      <c r="G17" s="1033">
        <v>63</v>
      </c>
    </row>
    <row r="18" spans="1:7" ht="34.5" customHeight="1">
      <c r="A18" s="1118" t="s">
        <v>647</v>
      </c>
      <c r="B18" s="1118"/>
      <c r="C18" s="1118"/>
      <c r="D18" s="1118"/>
      <c r="E18" s="1118"/>
      <c r="F18" s="1118"/>
      <c r="G18" s="1118"/>
    </row>
    <row r="19" spans="1:7" ht="27.75" customHeight="1" thickBot="1">
      <c r="A19" s="1110" t="s">
        <v>633</v>
      </c>
      <c r="B19" s="1110"/>
      <c r="C19" s="1110"/>
      <c r="D19" s="1110"/>
      <c r="E19" s="1110"/>
      <c r="F19" s="1110"/>
    </row>
    <row r="20" spans="1:7" ht="48" customHeight="1" thickTop="1">
      <c r="A20" s="1264" t="s">
        <v>453</v>
      </c>
      <c r="B20" s="1264"/>
      <c r="C20" s="743" t="s">
        <v>463</v>
      </c>
      <c r="D20" s="743" t="s">
        <v>465</v>
      </c>
      <c r="E20" s="743" t="s">
        <v>464</v>
      </c>
      <c r="F20" s="743" t="s">
        <v>466</v>
      </c>
      <c r="G20" s="1034" t="s">
        <v>620</v>
      </c>
    </row>
    <row r="21" spans="1:7" ht="33.75" customHeight="1">
      <c r="A21" s="1262" t="s">
        <v>625</v>
      </c>
      <c r="B21" s="1262"/>
      <c r="C21" s="773">
        <v>558.96</v>
      </c>
      <c r="D21" s="1043" t="s">
        <v>287</v>
      </c>
      <c r="E21" s="773">
        <v>662.25</v>
      </c>
      <c r="F21" s="1051">
        <v>1219.0999999999999</v>
      </c>
      <c r="G21" s="1256" t="s">
        <v>649</v>
      </c>
    </row>
    <row r="22" spans="1:7" ht="33.75" customHeight="1">
      <c r="A22" s="1263"/>
      <c r="B22" s="1263"/>
      <c r="C22" s="1036">
        <f>C21/C4-1</f>
        <v>29.083961248654472</v>
      </c>
      <c r="D22" s="1036" t="s">
        <v>287</v>
      </c>
      <c r="E22" s="1036">
        <f t="shared" ref="E22:F22" si="5">E21/E4-1</f>
        <v>2.7574468085106383</v>
      </c>
      <c r="F22" s="1036">
        <f t="shared" si="5"/>
        <v>3.6685558917014509</v>
      </c>
      <c r="G22" s="1256"/>
    </row>
    <row r="23" spans="1:7" ht="34.5" customHeight="1">
      <c r="A23" s="1262" t="s">
        <v>626</v>
      </c>
      <c r="B23" s="1262"/>
      <c r="C23" s="773">
        <v>443.67</v>
      </c>
      <c r="D23" s="773">
        <v>265.83</v>
      </c>
      <c r="E23" s="773">
        <v>533.66999999999996</v>
      </c>
      <c r="F23" s="1050">
        <v>1371.54</v>
      </c>
      <c r="G23" s="1256" t="s">
        <v>648</v>
      </c>
    </row>
    <row r="24" spans="1:7" ht="34.5" customHeight="1" thickBot="1">
      <c r="A24" s="1266"/>
      <c r="B24" s="1266"/>
      <c r="C24" s="1044">
        <f>C23/C4-1</f>
        <v>22.878902045209905</v>
      </c>
      <c r="D24" s="1044">
        <f t="shared" ref="D24:F24" si="6">D23/D4-1</f>
        <v>4.3768203883495147</v>
      </c>
      <c r="E24" s="1044">
        <f t="shared" si="6"/>
        <v>2.0279148936170213</v>
      </c>
      <c r="F24" s="1044">
        <f t="shared" si="6"/>
        <v>4.2523264274499288</v>
      </c>
      <c r="G24" s="1258"/>
    </row>
    <row r="25" spans="1:7" s="1042" customFormat="1" ht="23.25" customHeight="1" thickTop="1">
      <c r="A25" s="1260" t="s">
        <v>248</v>
      </c>
      <c r="B25" s="1260"/>
      <c r="C25" s="1045"/>
      <c r="D25" s="1045"/>
      <c r="E25" s="1045"/>
      <c r="F25" s="1045"/>
      <c r="G25" s="1038"/>
    </row>
    <row r="26" spans="1:7" s="1037" customFormat="1" ht="27" customHeight="1">
      <c r="A26" s="1135" t="s">
        <v>454</v>
      </c>
      <c r="B26" s="1135"/>
      <c r="C26" s="1135"/>
      <c r="D26" s="1135"/>
      <c r="E26" s="1135"/>
      <c r="F26" s="1135"/>
    </row>
    <row r="27" spans="1:7" s="1037" customFormat="1" ht="34.5" customHeight="1">
      <c r="A27" s="1039"/>
      <c r="B27" s="1039"/>
      <c r="C27" s="1039"/>
      <c r="D27" s="1039"/>
      <c r="E27" s="1039"/>
      <c r="F27" s="1039"/>
    </row>
    <row r="28" spans="1:7" s="1037" customFormat="1" ht="34.5" customHeight="1">
      <c r="A28" s="1039"/>
      <c r="B28" s="1039"/>
      <c r="C28" s="1039"/>
      <c r="D28" s="1039"/>
      <c r="E28" s="1039"/>
      <c r="F28" s="1039"/>
    </row>
    <row r="29" spans="1:7" s="1037" customFormat="1" ht="34.5" customHeight="1">
      <c r="A29" s="1039"/>
      <c r="B29" s="1039"/>
      <c r="C29" s="1039"/>
      <c r="D29" s="1039"/>
      <c r="E29" s="1039"/>
      <c r="F29" s="1039"/>
    </row>
    <row r="30" spans="1:7" s="1037" customFormat="1" ht="25.5" customHeight="1">
      <c r="A30" s="1039"/>
      <c r="B30" s="1039"/>
      <c r="C30" s="1039"/>
      <c r="D30" s="1039"/>
      <c r="E30" s="1039"/>
      <c r="F30" s="1039"/>
    </row>
    <row r="31" spans="1:7" s="1037" customFormat="1" ht="41.25" customHeight="1">
      <c r="A31" s="1040"/>
      <c r="B31" s="1040"/>
      <c r="C31" s="1040"/>
      <c r="D31" s="1040"/>
      <c r="E31" s="1040"/>
      <c r="F31" s="1040"/>
      <c r="G31" s="1041"/>
    </row>
    <row r="32" spans="1:7" s="1037" customFormat="1" ht="34.5" customHeight="1">
      <c r="A32" s="1122" t="s">
        <v>204</v>
      </c>
      <c r="B32" s="1122"/>
      <c r="C32" s="1108"/>
      <c r="D32" s="1108"/>
      <c r="E32" s="1108"/>
      <c r="F32" s="1033"/>
      <c r="G32" s="1033">
        <v>64</v>
      </c>
    </row>
    <row r="33" spans="1:7" s="1037" customFormat="1" ht="33.75" customHeight="1">
      <c r="A33" s="1118" t="s">
        <v>650</v>
      </c>
      <c r="B33" s="1118"/>
      <c r="C33" s="1118"/>
      <c r="D33" s="1118"/>
      <c r="E33" s="1118"/>
      <c r="F33" s="1118"/>
      <c r="G33" s="1118"/>
    </row>
    <row r="34" spans="1:7" s="1037" customFormat="1" ht="24.75" customHeight="1" thickBot="1">
      <c r="A34" s="1110" t="s">
        <v>549</v>
      </c>
      <c r="B34" s="1110"/>
      <c r="C34" s="1110"/>
      <c r="D34" s="1110"/>
      <c r="E34" s="1110"/>
      <c r="F34" s="1110"/>
      <c r="G34" s="1042"/>
    </row>
    <row r="35" spans="1:7" s="1037" customFormat="1" ht="44.25" customHeight="1" thickTop="1">
      <c r="A35" s="1264" t="s">
        <v>453</v>
      </c>
      <c r="B35" s="1264"/>
      <c r="C35" s="743" t="s">
        <v>463</v>
      </c>
      <c r="D35" s="743" t="s">
        <v>465</v>
      </c>
      <c r="E35" s="743" t="s">
        <v>464</v>
      </c>
      <c r="F35" s="743" t="s">
        <v>466</v>
      </c>
      <c r="G35" s="1034" t="s">
        <v>652</v>
      </c>
    </row>
    <row r="36" spans="1:7" ht="34.5" customHeight="1">
      <c r="A36" s="1268" t="s">
        <v>456</v>
      </c>
      <c r="B36" s="1268"/>
      <c r="C36" s="773">
        <v>124.53</v>
      </c>
      <c r="D36" s="773">
        <v>314.58</v>
      </c>
      <c r="E36" s="773">
        <v>400.77</v>
      </c>
      <c r="F36" s="1049">
        <v>522</v>
      </c>
      <c r="G36" s="1067" t="s">
        <v>635</v>
      </c>
    </row>
    <row r="37" spans="1:7" ht="23.25" customHeight="1">
      <c r="A37" s="1262" t="s">
        <v>457</v>
      </c>
      <c r="B37" s="1262"/>
      <c r="C37" s="773">
        <v>156.86000000000001</v>
      </c>
      <c r="D37" s="773">
        <v>404.58</v>
      </c>
      <c r="E37" s="773">
        <v>481.43</v>
      </c>
      <c r="F37" s="1049">
        <v>662.5</v>
      </c>
      <c r="G37" s="1259" t="s">
        <v>636</v>
      </c>
    </row>
    <row r="38" spans="1:7" ht="23.25" customHeight="1">
      <c r="A38" s="1263"/>
      <c r="B38" s="1263"/>
      <c r="C38" s="1036">
        <f>C37/C36-1</f>
        <v>0.25961615674937777</v>
      </c>
      <c r="D38" s="1036">
        <f t="shared" ref="D38:F38" si="7">D37/D36-1</f>
        <v>0.28609574670989901</v>
      </c>
      <c r="E38" s="1036">
        <f t="shared" si="7"/>
        <v>0.20126256955360944</v>
      </c>
      <c r="F38" s="1036">
        <f t="shared" si="7"/>
        <v>0.2691570881226053</v>
      </c>
      <c r="G38" s="1256"/>
    </row>
    <row r="39" spans="1:7" ht="23.25" customHeight="1">
      <c r="A39" s="1262" t="s">
        <v>458</v>
      </c>
      <c r="B39" s="1262"/>
      <c r="C39" s="773">
        <v>153.99</v>
      </c>
      <c r="D39" s="773">
        <v>366.02</v>
      </c>
      <c r="E39" s="773">
        <v>477.34</v>
      </c>
      <c r="F39" s="1050">
        <v>1073.1099999999999</v>
      </c>
      <c r="G39" s="1256" t="s">
        <v>637</v>
      </c>
    </row>
    <row r="40" spans="1:7" ht="23.25" customHeight="1">
      <c r="A40" s="1263"/>
      <c r="B40" s="1263"/>
      <c r="C40" s="1036">
        <f>C39/C36-1</f>
        <v>0.236569501324982</v>
      </c>
      <c r="D40" s="1036">
        <f t="shared" ref="D40:F40" si="8">D39/D36-1</f>
        <v>0.16351961345285781</v>
      </c>
      <c r="E40" s="1036">
        <f t="shared" si="8"/>
        <v>0.19105721486139182</v>
      </c>
      <c r="F40" s="1036">
        <f t="shared" si="8"/>
        <v>1.0557662835249042</v>
      </c>
      <c r="G40" s="1258"/>
    </row>
    <row r="41" spans="1:7" ht="23.25" customHeight="1">
      <c r="A41" s="1262" t="s">
        <v>459</v>
      </c>
      <c r="B41" s="1262"/>
      <c r="C41" s="773">
        <v>555.08000000000004</v>
      </c>
      <c r="D41" s="773">
        <v>549.27</v>
      </c>
      <c r="E41" s="773">
        <v>894.77</v>
      </c>
      <c r="F41" s="1050">
        <v>2041.75</v>
      </c>
      <c r="G41" s="1256" t="s">
        <v>638</v>
      </c>
    </row>
    <row r="42" spans="1:7" ht="23.25" customHeight="1">
      <c r="A42" s="1263"/>
      <c r="B42" s="1263"/>
      <c r="C42" s="1036">
        <f>C41/C36-1</f>
        <v>3.4573998233357424</v>
      </c>
      <c r="D42" s="1036">
        <f t="shared" ref="D42:F42" si="9">D41/D36-1</f>
        <v>0.74604234217051313</v>
      </c>
      <c r="E42" s="1036">
        <f t="shared" si="9"/>
        <v>1.232627192654141</v>
      </c>
      <c r="F42" s="1036">
        <f t="shared" si="9"/>
        <v>2.9113984674329503</v>
      </c>
      <c r="G42" s="1258"/>
    </row>
    <row r="43" spans="1:7" ht="23.25" customHeight="1">
      <c r="A43" s="1262" t="s">
        <v>460</v>
      </c>
      <c r="B43" s="1262"/>
      <c r="C43" s="773">
        <v>590.51</v>
      </c>
      <c r="D43" s="773">
        <v>575.75</v>
      </c>
      <c r="E43" s="773">
        <v>953.42</v>
      </c>
      <c r="F43" s="1050">
        <v>2147.75</v>
      </c>
      <c r="G43" s="1256" t="s">
        <v>639</v>
      </c>
    </row>
    <row r="44" spans="1:7" ht="23.25" customHeight="1">
      <c r="A44" s="1263"/>
      <c r="B44" s="1263"/>
      <c r="C44" s="1036">
        <f>C43/C36-1</f>
        <v>3.7419095800208781</v>
      </c>
      <c r="D44" s="1036">
        <f t="shared" ref="D44:F44" si="10">D43/D36-1</f>
        <v>0.83021806853582558</v>
      </c>
      <c r="E44" s="1036">
        <f t="shared" si="10"/>
        <v>1.3789704818224915</v>
      </c>
      <c r="F44" s="1036">
        <f t="shared" si="10"/>
        <v>3.1144636015325666</v>
      </c>
      <c r="G44" s="1258"/>
    </row>
    <row r="45" spans="1:7" ht="29.25" customHeight="1">
      <c r="A45" s="1262" t="s">
        <v>461</v>
      </c>
      <c r="B45" s="1262"/>
      <c r="C45" s="773">
        <v>922.25</v>
      </c>
      <c r="D45" s="773">
        <v>800.33</v>
      </c>
      <c r="E45" s="1050">
        <v>1128.33</v>
      </c>
      <c r="F45" s="1050">
        <v>2908.7</v>
      </c>
      <c r="G45" s="1256" t="s">
        <v>640</v>
      </c>
    </row>
    <row r="46" spans="1:7" ht="29.25" customHeight="1">
      <c r="A46" s="1263"/>
      <c r="B46" s="1263"/>
      <c r="C46" s="1036">
        <f>C45/C36-1</f>
        <v>6.4058459808881389</v>
      </c>
      <c r="D46" s="1036">
        <f t="shared" ref="D46:F46" si="11">D45/D36-1</f>
        <v>1.544122321825927</v>
      </c>
      <c r="E46" s="1036">
        <f t="shared" si="11"/>
        <v>1.8154053447114302</v>
      </c>
      <c r="F46" s="1036">
        <f t="shared" si="11"/>
        <v>4.572222222222222</v>
      </c>
      <c r="G46" s="1258"/>
    </row>
    <row r="47" spans="1:7" ht="29.25" customHeight="1">
      <c r="A47" s="1262" t="s">
        <v>642</v>
      </c>
      <c r="B47" s="1262"/>
      <c r="C47" s="773">
        <v>2209.1999999999998</v>
      </c>
      <c r="D47" s="773">
        <v>520.83000000000004</v>
      </c>
      <c r="E47" s="1053">
        <v>1425</v>
      </c>
      <c r="F47" s="1050">
        <v>5222.41</v>
      </c>
      <c r="G47" s="1256" t="s">
        <v>641</v>
      </c>
    </row>
    <row r="48" spans="1:7" ht="29.25" customHeight="1" thickBot="1">
      <c r="A48" s="1265"/>
      <c r="B48" s="1265"/>
      <c r="C48" s="1047">
        <v>16.740300000000001</v>
      </c>
      <c r="D48" s="1047">
        <f t="shared" ref="D48:F48" si="12">D47/D36-1</f>
        <v>0.65563608621018532</v>
      </c>
      <c r="E48" s="1047">
        <f t="shared" si="12"/>
        <v>2.5556553634254064</v>
      </c>
      <c r="F48" s="1047">
        <f t="shared" si="12"/>
        <v>9.0046168582375472</v>
      </c>
      <c r="G48" s="1257"/>
    </row>
    <row r="49" spans="1:7" ht="6.75" customHeight="1" thickTop="1">
      <c r="A49" s="1269"/>
      <c r="B49" s="1269"/>
      <c r="C49" s="745"/>
      <c r="D49" s="1270"/>
      <c r="E49" s="1270"/>
      <c r="F49" s="735"/>
    </row>
    <row r="50" spans="1:7">
      <c r="A50" s="1271"/>
      <c r="B50" s="1271"/>
    </row>
    <row r="51" spans="1:7">
      <c r="A51" s="1135" t="s">
        <v>454</v>
      </c>
      <c r="B51" s="1135"/>
      <c r="C51" s="1135"/>
      <c r="D51" s="1135"/>
      <c r="E51" s="1135"/>
      <c r="F51" s="1135"/>
    </row>
    <row r="52" spans="1:7" ht="24.75" customHeight="1">
      <c r="A52" s="1272" t="s">
        <v>228</v>
      </c>
      <c r="B52" s="1272"/>
      <c r="C52" s="1272"/>
      <c r="D52" s="1272"/>
      <c r="E52" s="1272"/>
      <c r="F52" s="754"/>
      <c r="G52" s="754">
        <v>65</v>
      </c>
    </row>
    <row r="53" spans="1:7" ht="38.25" customHeight="1">
      <c r="A53" s="1118" t="s">
        <v>651</v>
      </c>
      <c r="B53" s="1118"/>
      <c r="C53" s="1118"/>
      <c r="D53" s="1118"/>
      <c r="E53" s="1118"/>
      <c r="F53" s="1118"/>
      <c r="G53" s="1118"/>
    </row>
    <row r="54" spans="1:7" ht="23.25" customHeight="1" thickBot="1">
      <c r="A54" s="1110" t="s">
        <v>550</v>
      </c>
      <c r="B54" s="1110"/>
      <c r="C54" s="1110"/>
      <c r="D54" s="1110"/>
      <c r="E54" s="1110"/>
      <c r="F54" s="1110"/>
    </row>
    <row r="55" spans="1:7" ht="46.5" customHeight="1" thickTop="1">
      <c r="A55" s="1264" t="s">
        <v>453</v>
      </c>
      <c r="B55" s="1264"/>
      <c r="C55" s="743" t="s">
        <v>463</v>
      </c>
      <c r="D55" s="743" t="s">
        <v>465</v>
      </c>
      <c r="E55" s="743" t="s">
        <v>464</v>
      </c>
      <c r="F55" s="743" t="s">
        <v>466</v>
      </c>
      <c r="G55" s="1034" t="s">
        <v>620</v>
      </c>
    </row>
    <row r="56" spans="1:7" ht="34.5" customHeight="1">
      <c r="A56" s="1263" t="s">
        <v>455</v>
      </c>
      <c r="B56" s="1263"/>
      <c r="C56" s="773">
        <v>45.58</v>
      </c>
      <c r="D56" s="773">
        <v>117.08</v>
      </c>
      <c r="E56" s="773">
        <v>296.42</v>
      </c>
      <c r="F56" s="1049">
        <v>395</v>
      </c>
      <c r="G56" s="1048" t="s">
        <v>643</v>
      </c>
    </row>
    <row r="57" spans="1:7" ht="34.5" customHeight="1">
      <c r="A57" s="1273" t="s">
        <v>462</v>
      </c>
      <c r="B57" s="1273"/>
      <c r="C57" s="773">
        <v>383.87</v>
      </c>
      <c r="D57" s="773">
        <v>616.41</v>
      </c>
      <c r="E57" s="773">
        <v>969.25</v>
      </c>
      <c r="F57" s="1050">
        <v>1559.92</v>
      </c>
      <c r="G57" s="1276" t="s">
        <v>644</v>
      </c>
    </row>
    <row r="58" spans="1:7" ht="34.5" customHeight="1">
      <c r="A58" s="1273"/>
      <c r="B58" s="1273"/>
      <c r="C58" s="1036">
        <f>C57/C56-1</f>
        <v>7.4218955682316814</v>
      </c>
      <c r="D58" s="1036">
        <f t="shared" ref="D58:F58" si="13">D57/D56-1</f>
        <v>4.264861633071404</v>
      </c>
      <c r="E58" s="1036">
        <f t="shared" si="13"/>
        <v>2.2698535861277915</v>
      </c>
      <c r="F58" s="1036">
        <f t="shared" si="13"/>
        <v>2.9491645569620255</v>
      </c>
      <c r="G58" s="1276"/>
    </row>
    <row r="59" spans="1:7" ht="34.5" customHeight="1">
      <c r="A59" s="1273" t="s">
        <v>470</v>
      </c>
      <c r="B59" s="1273"/>
      <c r="C59" s="773">
        <v>309.8</v>
      </c>
      <c r="D59" s="773">
        <v>449.67</v>
      </c>
      <c r="E59" s="773">
        <v>549.09</v>
      </c>
      <c r="F59" s="1050">
        <v>1566.63</v>
      </c>
      <c r="G59" s="1276" t="s">
        <v>645</v>
      </c>
    </row>
    <row r="60" spans="1:7" ht="34.5" customHeight="1" thickBot="1">
      <c r="A60" s="1274"/>
      <c r="B60" s="1274"/>
      <c r="C60" s="1047">
        <f>C59/C56-1</f>
        <v>5.7968407196138658</v>
      </c>
      <c r="D60" s="1047">
        <f t="shared" ref="D60:F60" si="14">D59/D56-1</f>
        <v>2.8407072087461565</v>
      </c>
      <c r="E60" s="1047">
        <f t="shared" si="14"/>
        <v>0.85240537075770861</v>
      </c>
      <c r="F60" s="1047">
        <f t="shared" si="14"/>
        <v>2.9661518987341773</v>
      </c>
      <c r="G60" s="1277"/>
    </row>
    <row r="61" spans="1:7" ht="6.75" customHeight="1" thickTop="1">
      <c r="A61" s="1138"/>
      <c r="B61" s="1138"/>
      <c r="C61" s="745"/>
      <c r="D61" s="1270"/>
      <c r="E61" s="1270"/>
      <c r="F61" s="735"/>
    </row>
    <row r="62" spans="1:7" ht="23.25" customHeight="1">
      <c r="A62" s="1135" t="s">
        <v>454</v>
      </c>
      <c r="B62" s="1135"/>
      <c r="C62" s="1135"/>
      <c r="D62" s="1135"/>
      <c r="E62" s="1135"/>
      <c r="F62" s="1135"/>
    </row>
    <row r="63" spans="1:7" s="1042" customFormat="1" ht="23.25" customHeight="1">
      <c r="A63" s="1056"/>
      <c r="B63" s="1056"/>
      <c r="C63" s="1056"/>
      <c r="D63" s="1056"/>
      <c r="E63" s="1056"/>
      <c r="F63" s="1056"/>
    </row>
    <row r="64" spans="1:7" s="1042" customFormat="1" ht="23.25" customHeight="1">
      <c r="A64" s="1056"/>
      <c r="B64" s="1056"/>
      <c r="C64" s="1056"/>
      <c r="D64" s="1056"/>
      <c r="E64" s="1056"/>
      <c r="F64" s="1056"/>
    </row>
    <row r="65" spans="1:7" s="1042" customFormat="1" ht="23.25" customHeight="1">
      <c r="A65" s="1056"/>
      <c r="B65" s="1056"/>
      <c r="C65" s="1056"/>
      <c r="D65" s="1056"/>
      <c r="E65" s="1056"/>
      <c r="F65" s="1056"/>
    </row>
    <row r="66" spans="1:7" s="1042" customFormat="1">
      <c r="A66" s="1056"/>
      <c r="B66" s="1056"/>
      <c r="C66" s="1056"/>
      <c r="D66" s="1056"/>
      <c r="E66" s="1056"/>
      <c r="F66" s="1056"/>
    </row>
    <row r="67" spans="1:7" s="1042" customFormat="1" ht="0.75" customHeight="1">
      <c r="A67" s="1056"/>
      <c r="B67" s="1056"/>
      <c r="C67" s="1056"/>
      <c r="D67" s="1056"/>
      <c r="E67" s="1056"/>
      <c r="F67" s="1056"/>
    </row>
    <row r="68" spans="1:7" s="1042" customFormat="1" ht="3.75" customHeight="1">
      <c r="A68" s="1056"/>
      <c r="B68" s="1056"/>
      <c r="C68" s="1056"/>
      <c r="D68" s="1056"/>
      <c r="E68" s="1056"/>
      <c r="F68" s="1056"/>
    </row>
    <row r="69" spans="1:7" s="1042" customFormat="1">
      <c r="A69" s="1056"/>
      <c r="B69" s="1056"/>
      <c r="C69" s="1056"/>
      <c r="D69" s="1056"/>
      <c r="E69" s="1056"/>
      <c r="F69" s="1056"/>
    </row>
    <row r="70" spans="1:7" s="1042" customFormat="1">
      <c r="A70" s="1056"/>
      <c r="B70" s="1056"/>
      <c r="C70" s="1056"/>
      <c r="D70" s="1056"/>
      <c r="E70" s="1056"/>
      <c r="F70" s="1056"/>
    </row>
    <row r="71" spans="1:7" s="1042" customFormat="1">
      <c r="A71" s="1056"/>
      <c r="B71" s="1056"/>
      <c r="C71" s="1056"/>
      <c r="D71" s="1056"/>
      <c r="E71" s="1056"/>
      <c r="F71" s="1056"/>
    </row>
    <row r="72" spans="1:7">
      <c r="A72" s="744"/>
      <c r="B72" s="744"/>
      <c r="C72" s="744"/>
      <c r="D72" s="744"/>
      <c r="E72" s="744"/>
      <c r="F72" s="744"/>
    </row>
    <row r="73" spans="1:7">
      <c r="A73" s="1275"/>
      <c r="B73" s="1275"/>
      <c r="C73" s="736"/>
      <c r="D73" s="736"/>
      <c r="E73" s="736"/>
      <c r="F73" s="737"/>
    </row>
    <row r="74" spans="1:7" ht="24" customHeight="1">
      <c r="A74" s="1122" t="s">
        <v>204</v>
      </c>
      <c r="B74" s="1122"/>
      <c r="C74" s="1108"/>
      <c r="D74" s="1108"/>
      <c r="E74" s="1108"/>
      <c r="F74" s="753"/>
      <c r="G74" s="1033">
        <v>66</v>
      </c>
    </row>
  </sheetData>
  <mergeCells count="64">
    <mergeCell ref="A74:B74"/>
    <mergeCell ref="C74:E74"/>
    <mergeCell ref="A52:E52"/>
    <mergeCell ref="A54:F54"/>
    <mergeCell ref="A55:B55"/>
    <mergeCell ref="A56:B56"/>
    <mergeCell ref="A57:B58"/>
    <mergeCell ref="A59:B60"/>
    <mergeCell ref="A61:B61"/>
    <mergeCell ref="D61:E61"/>
    <mergeCell ref="A62:F62"/>
    <mergeCell ref="A73:B73"/>
    <mergeCell ref="A53:G53"/>
    <mergeCell ref="G57:G58"/>
    <mergeCell ref="G59:G60"/>
    <mergeCell ref="A51:F51"/>
    <mergeCell ref="A20:B20"/>
    <mergeCell ref="A36:B36"/>
    <mergeCell ref="A37:B38"/>
    <mergeCell ref="A39:B40"/>
    <mergeCell ref="A41:B42"/>
    <mergeCell ref="A43:B44"/>
    <mergeCell ref="A45:B46"/>
    <mergeCell ref="A47:B48"/>
    <mergeCell ref="A49:B49"/>
    <mergeCell ref="D49:E49"/>
    <mergeCell ref="A50:B50"/>
    <mergeCell ref="A33:G33"/>
    <mergeCell ref="A34:F34"/>
    <mergeCell ref="A35:B35"/>
    <mergeCell ref="G21:G22"/>
    <mergeCell ref="A21:B22"/>
    <mergeCell ref="A23:B24"/>
    <mergeCell ref="A17:B17"/>
    <mergeCell ref="C17:E17"/>
    <mergeCell ref="A15:B15"/>
    <mergeCell ref="A16:F16"/>
    <mergeCell ref="A19:F19"/>
    <mergeCell ref="G13:G14"/>
    <mergeCell ref="A1:G1"/>
    <mergeCell ref="A18:G18"/>
    <mergeCell ref="G9:G10"/>
    <mergeCell ref="G11:G12"/>
    <mergeCell ref="G5:G6"/>
    <mergeCell ref="G7:G8"/>
    <mergeCell ref="A7:B8"/>
    <mergeCell ref="A2:F2"/>
    <mergeCell ref="A3:B3"/>
    <mergeCell ref="A4:B4"/>
    <mergeCell ref="A5:B6"/>
    <mergeCell ref="A9:B10"/>
    <mergeCell ref="A11:B12"/>
    <mergeCell ref="A13:B14"/>
    <mergeCell ref="G23:G24"/>
    <mergeCell ref="A26:F26"/>
    <mergeCell ref="A32:B32"/>
    <mergeCell ref="C32:E32"/>
    <mergeCell ref="A25:B25"/>
    <mergeCell ref="G47:G48"/>
    <mergeCell ref="G41:G42"/>
    <mergeCell ref="G43:G44"/>
    <mergeCell ref="G45:G46"/>
    <mergeCell ref="G37:G38"/>
    <mergeCell ref="G39:G40"/>
  </mergeCells>
  <pageMargins left="0.7" right="0.7" top="0.75" bottom="0.75"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I409"/>
  <sheetViews>
    <sheetView rightToLeft="1" view="pageBreakPreview" topLeftCell="A373" zoomScaleNormal="100" zoomScaleSheetLayoutView="100" workbookViewId="0">
      <selection activeCell="D400" sqref="D400"/>
    </sheetView>
  </sheetViews>
  <sheetFormatPr defaultRowHeight="15"/>
  <cols>
    <col min="1" max="1" width="3.28515625" customWidth="1"/>
    <col min="2" max="2" width="12.140625" customWidth="1"/>
    <col min="3" max="3" width="13.42578125" customWidth="1"/>
    <col min="4" max="4" width="14.140625" customWidth="1"/>
    <col min="5" max="5" width="12.5703125" customWidth="1"/>
    <col min="6" max="6" width="11.5703125" customWidth="1"/>
    <col min="7" max="7" width="11.42578125" customWidth="1"/>
    <col min="8" max="8" width="3" customWidth="1"/>
  </cols>
  <sheetData>
    <row r="1" spans="2:8" ht="25.5" customHeight="1">
      <c r="B1" s="1279" t="s">
        <v>551</v>
      </c>
      <c r="C1" s="1279"/>
      <c r="D1" s="1279"/>
      <c r="E1" s="1279"/>
      <c r="F1" s="1279"/>
      <c r="G1" s="1279"/>
      <c r="H1" s="846"/>
    </row>
    <row r="2" spans="2:8" ht="21" customHeight="1" thickBot="1">
      <c r="B2" s="1278" t="s">
        <v>556</v>
      </c>
      <c r="C2" s="1278"/>
      <c r="D2" s="775"/>
      <c r="E2" s="775"/>
      <c r="F2" s="775"/>
      <c r="G2" s="775"/>
      <c r="H2" s="775"/>
    </row>
    <row r="3" spans="2:8" s="140" customFormat="1" ht="27.75" customHeight="1" thickTop="1">
      <c r="B3" s="844" t="s">
        <v>178</v>
      </c>
      <c r="C3" s="844" t="s">
        <v>0</v>
      </c>
      <c r="D3" s="844" t="s">
        <v>471</v>
      </c>
      <c r="E3" s="844" t="s">
        <v>472</v>
      </c>
      <c r="F3" s="844" t="s">
        <v>473</v>
      </c>
      <c r="G3" s="844" t="s">
        <v>474</v>
      </c>
      <c r="H3" s="833"/>
    </row>
    <row r="4" spans="2:8" s="12" customFormat="1" ht="17.25" customHeight="1">
      <c r="B4" s="795" t="s">
        <v>101</v>
      </c>
      <c r="C4" s="805" t="s">
        <v>476</v>
      </c>
      <c r="D4" s="805">
        <v>8.1999999999999993</v>
      </c>
      <c r="E4" s="1018">
        <v>8</v>
      </c>
      <c r="F4" s="1018">
        <v>8.3000000000000007</v>
      </c>
      <c r="G4" s="1018">
        <v>8.5</v>
      </c>
      <c r="H4" s="775"/>
    </row>
    <row r="5" spans="2:8" s="12" customFormat="1" ht="17.25" customHeight="1">
      <c r="B5" s="787"/>
      <c r="C5" s="806" t="s">
        <v>477</v>
      </c>
      <c r="D5" s="806">
        <v>8.1999999999999993</v>
      </c>
      <c r="E5" s="1019">
        <v>8.1</v>
      </c>
      <c r="F5" s="1019">
        <v>7.9</v>
      </c>
      <c r="G5" s="1019">
        <v>8.6999999999999993</v>
      </c>
    </row>
    <row r="6" spans="2:8" s="12" customFormat="1" ht="17.25" customHeight="1">
      <c r="B6" s="788"/>
      <c r="C6" s="806" t="s">
        <v>478</v>
      </c>
      <c r="D6" s="806">
        <v>8.1</v>
      </c>
      <c r="E6" s="1019">
        <v>7.2</v>
      </c>
      <c r="F6" s="1019">
        <v>8.1</v>
      </c>
      <c r="G6" s="1024" t="s">
        <v>287</v>
      </c>
    </row>
    <row r="7" spans="2:8" s="12" customFormat="1" ht="17.25" customHeight="1">
      <c r="B7" s="788"/>
      <c r="C7" s="806" t="s">
        <v>479</v>
      </c>
      <c r="D7" s="806">
        <v>8.1</v>
      </c>
      <c r="E7" s="1019">
        <v>8</v>
      </c>
      <c r="F7" s="1019">
        <v>8.1</v>
      </c>
      <c r="G7" s="1024" t="s">
        <v>287</v>
      </c>
    </row>
    <row r="8" spans="2:8" s="12" customFormat="1" ht="17.25" customHeight="1">
      <c r="B8" s="788"/>
      <c r="C8" s="811" t="s">
        <v>501</v>
      </c>
      <c r="D8" s="1015">
        <v>8.3000000000000007</v>
      </c>
      <c r="E8" s="1026">
        <v>8.14</v>
      </c>
      <c r="F8" s="1026">
        <v>8.1999999999999993</v>
      </c>
      <c r="G8" s="1026">
        <v>8.1999999999999993</v>
      </c>
      <c r="H8" s="1016"/>
    </row>
    <row r="9" spans="2:8" s="12" customFormat="1" ht="17.25" customHeight="1">
      <c r="B9" s="789" t="s">
        <v>150</v>
      </c>
      <c r="C9" s="805" t="s">
        <v>476</v>
      </c>
      <c r="D9" s="1018">
        <v>2338</v>
      </c>
      <c r="E9" s="1018">
        <v>2757.3</v>
      </c>
      <c r="F9" s="1025" t="s">
        <v>611</v>
      </c>
      <c r="G9" s="1018">
        <v>3090</v>
      </c>
    </row>
    <row r="10" spans="2:8" s="12" customFormat="1" ht="17.25" customHeight="1">
      <c r="B10" s="787" t="s">
        <v>502</v>
      </c>
      <c r="C10" s="806" t="s">
        <v>477</v>
      </c>
      <c r="D10" s="1019">
        <v>2251</v>
      </c>
      <c r="E10" s="1019">
        <v>2770</v>
      </c>
      <c r="F10" s="1019">
        <v>3520</v>
      </c>
      <c r="G10" s="1019">
        <v>7400</v>
      </c>
    </row>
    <row r="11" spans="2:8" s="12" customFormat="1" ht="17.25" customHeight="1">
      <c r="B11" s="788"/>
      <c r="C11" s="806" t="s">
        <v>478</v>
      </c>
      <c r="D11" s="1019">
        <v>2152</v>
      </c>
      <c r="E11" s="1019">
        <v>2954.7</v>
      </c>
      <c r="F11" s="1019">
        <v>5326.7</v>
      </c>
      <c r="G11" s="1024" t="s">
        <v>287</v>
      </c>
    </row>
    <row r="12" spans="2:8" s="12" customFormat="1" ht="17.25" customHeight="1">
      <c r="B12" s="788"/>
      <c r="C12" s="806" t="s">
        <v>479</v>
      </c>
      <c r="D12" s="1019">
        <v>2823</v>
      </c>
      <c r="E12" s="1019">
        <v>3086.7</v>
      </c>
      <c r="F12" s="1019">
        <v>5410</v>
      </c>
      <c r="G12" s="1024" t="s">
        <v>287</v>
      </c>
    </row>
    <row r="13" spans="2:8" s="12" customFormat="1" ht="17.25" customHeight="1">
      <c r="B13" s="788"/>
      <c r="C13" s="811" t="s">
        <v>501</v>
      </c>
      <c r="D13" s="1020">
        <v>3350</v>
      </c>
      <c r="E13" s="1026">
        <v>2893.3</v>
      </c>
      <c r="F13" s="1026">
        <v>5333.3</v>
      </c>
      <c r="G13" s="1020">
        <v>7740</v>
      </c>
    </row>
    <row r="14" spans="2:8" s="12" customFormat="1" ht="17.25" customHeight="1">
      <c r="B14" s="789" t="s">
        <v>158</v>
      </c>
      <c r="C14" s="805" t="s">
        <v>476</v>
      </c>
      <c r="D14" s="1018">
        <v>328</v>
      </c>
      <c r="E14" s="1025" t="s">
        <v>612</v>
      </c>
      <c r="F14" s="1018">
        <v>240</v>
      </c>
      <c r="G14" s="1018">
        <v>363</v>
      </c>
    </row>
    <row r="15" spans="2:8" s="12" customFormat="1" ht="17.25" customHeight="1">
      <c r="B15" s="787" t="s">
        <v>502</v>
      </c>
      <c r="C15" s="806" t="s">
        <v>477</v>
      </c>
      <c r="D15" s="1019">
        <v>284</v>
      </c>
      <c r="E15" s="1019">
        <v>288</v>
      </c>
      <c r="F15" s="1019">
        <v>240</v>
      </c>
      <c r="G15" s="1019">
        <v>448</v>
      </c>
    </row>
    <row r="16" spans="2:8" s="12" customFormat="1" ht="17.25" customHeight="1">
      <c r="B16" s="788"/>
      <c r="C16" s="806" t="s">
        <v>478</v>
      </c>
      <c r="D16" s="1019">
        <v>291</v>
      </c>
      <c r="E16" s="1028">
        <v>301.3</v>
      </c>
      <c r="F16" s="1019">
        <v>488</v>
      </c>
      <c r="G16" s="1024" t="s">
        <v>287</v>
      </c>
      <c r="H16" s="778"/>
    </row>
    <row r="17" spans="2:8" s="12" customFormat="1" ht="17.25" customHeight="1">
      <c r="B17" s="788"/>
      <c r="C17" s="806" t="s">
        <v>479</v>
      </c>
      <c r="D17" s="1019">
        <v>344</v>
      </c>
      <c r="E17" s="1019">
        <v>416</v>
      </c>
      <c r="F17" s="1019">
        <v>488</v>
      </c>
      <c r="G17" s="1024" t="s">
        <v>287</v>
      </c>
      <c r="H17" s="778"/>
    </row>
    <row r="18" spans="2:8" s="12" customFormat="1" ht="17.25" customHeight="1">
      <c r="B18" s="788"/>
      <c r="C18" s="811" t="s">
        <v>501</v>
      </c>
      <c r="D18" s="1020">
        <v>408</v>
      </c>
      <c r="E18" s="1020">
        <v>450.7</v>
      </c>
      <c r="F18" s="1026">
        <v>557.29999999999995</v>
      </c>
      <c r="G18" s="1020">
        <v>568</v>
      </c>
    </row>
    <row r="19" spans="2:8" s="12" customFormat="1" ht="17.25" customHeight="1">
      <c r="B19" s="789" t="s">
        <v>160</v>
      </c>
      <c r="C19" s="805" t="s">
        <v>476</v>
      </c>
      <c r="D19" s="1018">
        <v>370</v>
      </c>
      <c r="E19" s="1018">
        <v>501.7</v>
      </c>
      <c r="F19" s="1018">
        <v>710.3</v>
      </c>
      <c r="G19" s="1018">
        <v>541.5</v>
      </c>
      <c r="H19" s="777"/>
    </row>
    <row r="20" spans="2:8" s="12" customFormat="1" ht="17.25" customHeight="1">
      <c r="B20" s="787" t="s">
        <v>502</v>
      </c>
      <c r="C20" s="806" t="s">
        <v>477</v>
      </c>
      <c r="D20" s="1019">
        <v>375.5</v>
      </c>
      <c r="E20" s="1019">
        <v>499.9</v>
      </c>
      <c r="F20" s="1019">
        <v>712</v>
      </c>
      <c r="G20" s="1019">
        <v>1614.5</v>
      </c>
      <c r="H20" s="775"/>
    </row>
    <row r="21" spans="2:8" s="12" customFormat="1" ht="17.25" customHeight="1">
      <c r="B21" s="788"/>
      <c r="C21" s="806" t="s">
        <v>478</v>
      </c>
      <c r="D21" s="1019">
        <v>356</v>
      </c>
      <c r="E21" s="1019">
        <v>537</v>
      </c>
      <c r="F21" s="1019">
        <v>1001.3</v>
      </c>
      <c r="G21" s="1024" t="s">
        <v>287</v>
      </c>
      <c r="H21" s="779"/>
    </row>
    <row r="22" spans="2:8" s="12" customFormat="1" ht="17.25" customHeight="1">
      <c r="B22" s="788"/>
      <c r="C22" s="806" t="s">
        <v>479</v>
      </c>
      <c r="D22" s="1019">
        <v>478.5</v>
      </c>
      <c r="E22" s="1019">
        <v>508.3</v>
      </c>
      <c r="F22" s="1019">
        <v>1021.7</v>
      </c>
      <c r="G22" s="1024" t="s">
        <v>287</v>
      </c>
      <c r="H22" s="780"/>
    </row>
    <row r="23" spans="2:8" s="12" customFormat="1" ht="17.25" customHeight="1">
      <c r="B23" s="788"/>
      <c r="C23" s="811" t="s">
        <v>501</v>
      </c>
      <c r="D23" s="1020">
        <v>580.5</v>
      </c>
      <c r="E23" s="1020">
        <v>525</v>
      </c>
      <c r="F23" s="1020">
        <v>961</v>
      </c>
      <c r="G23" s="1020">
        <v>1634</v>
      </c>
      <c r="H23" s="780"/>
    </row>
    <row r="24" spans="2:8" s="12" customFormat="1" ht="17.25" customHeight="1">
      <c r="B24" s="789" t="s">
        <v>480</v>
      </c>
      <c r="C24" s="805" t="s">
        <v>476</v>
      </c>
      <c r="D24" s="1018">
        <v>5884</v>
      </c>
      <c r="E24" s="1018">
        <v>7305.3</v>
      </c>
      <c r="F24" s="1018">
        <v>11638</v>
      </c>
      <c r="G24" s="1018">
        <v>8292</v>
      </c>
      <c r="H24" s="780"/>
    </row>
    <row r="25" spans="2:8" s="12" customFormat="1" ht="17.25" customHeight="1">
      <c r="B25" s="787" t="s">
        <v>502</v>
      </c>
      <c r="C25" s="806" t="s">
        <v>477</v>
      </c>
      <c r="D25" s="1019">
        <v>5908</v>
      </c>
      <c r="E25" s="1019">
        <v>7326.7</v>
      </c>
      <c r="F25" s="1019">
        <v>11589.3</v>
      </c>
      <c r="G25" s="1019">
        <v>14860</v>
      </c>
      <c r="H25" s="780"/>
    </row>
    <row r="26" spans="2:8" s="12" customFormat="1" ht="17.25" customHeight="1">
      <c r="B26" s="788"/>
      <c r="C26" s="806" t="s">
        <v>478</v>
      </c>
      <c r="D26" s="1019">
        <v>5852</v>
      </c>
      <c r="E26" s="1019">
        <v>7374.7</v>
      </c>
      <c r="F26" s="1019">
        <v>15734.7</v>
      </c>
      <c r="G26" s="1024" t="s">
        <v>287</v>
      </c>
      <c r="H26" s="780"/>
    </row>
    <row r="27" spans="2:8" s="12" customFormat="1" ht="17.25" customHeight="1">
      <c r="B27" s="788"/>
      <c r="C27" s="806" t="s">
        <v>479</v>
      </c>
      <c r="D27" s="1019">
        <v>8348</v>
      </c>
      <c r="E27" s="1019">
        <v>9342.7000000000007</v>
      </c>
      <c r="F27" s="1019">
        <v>15818.7</v>
      </c>
      <c r="G27" s="1024" t="s">
        <v>287</v>
      </c>
      <c r="H27" s="780"/>
    </row>
    <row r="28" spans="2:8" s="12" customFormat="1" ht="17.25" customHeight="1">
      <c r="B28" s="788"/>
      <c r="C28" s="811" t="s">
        <v>501</v>
      </c>
      <c r="D28" s="1020">
        <v>11544</v>
      </c>
      <c r="E28" s="1020">
        <v>9332</v>
      </c>
      <c r="F28" s="1020">
        <v>14494</v>
      </c>
      <c r="G28" s="1020">
        <v>17580</v>
      </c>
      <c r="H28" s="627"/>
    </row>
    <row r="29" spans="2:8" s="12" customFormat="1" ht="17.25" customHeight="1">
      <c r="B29" s="797" t="s">
        <v>506</v>
      </c>
      <c r="C29" s="805" t="s">
        <v>476</v>
      </c>
      <c r="D29" s="1018">
        <v>6</v>
      </c>
      <c r="E29" s="1018">
        <v>6</v>
      </c>
      <c r="F29" s="1018">
        <v>5.9</v>
      </c>
      <c r="G29" s="805">
        <v>4.4000000000000004</v>
      </c>
      <c r="H29" s="784"/>
    </row>
    <row r="30" spans="2:8" s="12" customFormat="1" ht="17.25" customHeight="1">
      <c r="B30" s="795" t="s">
        <v>507</v>
      </c>
      <c r="C30" s="806" t="s">
        <v>477</v>
      </c>
      <c r="D30" s="806">
        <v>6.5</v>
      </c>
      <c r="E30" s="806">
        <v>5.8</v>
      </c>
      <c r="F30" s="806">
        <v>5.9</v>
      </c>
      <c r="G30" s="806">
        <v>6.2</v>
      </c>
      <c r="H30" s="784"/>
    </row>
    <row r="31" spans="2:8" s="12" customFormat="1" ht="17.25" customHeight="1">
      <c r="B31" s="788"/>
      <c r="C31" s="806" t="s">
        <v>478</v>
      </c>
      <c r="D31" s="806">
        <v>3.9</v>
      </c>
      <c r="E31" s="806">
        <v>4.9000000000000004</v>
      </c>
      <c r="F31" s="1061">
        <v>4.8</v>
      </c>
      <c r="G31" s="810" t="s">
        <v>287</v>
      </c>
      <c r="H31" s="784"/>
    </row>
    <row r="32" spans="2:8" s="12" customFormat="1" ht="17.25" customHeight="1">
      <c r="B32" s="788"/>
      <c r="C32" s="806" t="s">
        <v>479</v>
      </c>
      <c r="D32" s="806">
        <v>6.2</v>
      </c>
      <c r="E32" s="806">
        <v>5.2</v>
      </c>
      <c r="F32" s="806">
        <v>5.7</v>
      </c>
      <c r="G32" s="810" t="s">
        <v>287</v>
      </c>
      <c r="H32" s="784"/>
    </row>
    <row r="33" spans="2:8" s="12" customFormat="1" ht="17.25" customHeight="1">
      <c r="B33" s="790"/>
      <c r="C33" s="811" t="s">
        <v>501</v>
      </c>
      <c r="D33" s="1017">
        <v>6.4</v>
      </c>
      <c r="E33" s="1017">
        <v>4.8</v>
      </c>
      <c r="F33" s="1017">
        <v>5.6</v>
      </c>
      <c r="G33" s="1020">
        <v>5</v>
      </c>
      <c r="H33" s="784"/>
    </row>
    <row r="34" spans="2:8" s="12" customFormat="1" ht="17.25" customHeight="1">
      <c r="B34" s="797" t="s">
        <v>505</v>
      </c>
      <c r="C34" s="805" t="s">
        <v>476</v>
      </c>
      <c r="D34" s="1022">
        <v>0</v>
      </c>
      <c r="E34" s="805">
        <v>0.06</v>
      </c>
      <c r="F34" s="1022">
        <v>0.09</v>
      </c>
      <c r="G34" s="805">
        <v>0.06</v>
      </c>
      <c r="H34" s="784"/>
    </row>
    <row r="35" spans="2:8" s="12" customFormat="1" ht="17.25" customHeight="1">
      <c r="B35" s="795" t="s">
        <v>507</v>
      </c>
      <c r="C35" s="806" t="s">
        <v>477</v>
      </c>
      <c r="D35" s="1023">
        <v>0</v>
      </c>
      <c r="E35" s="806">
        <v>0.06</v>
      </c>
      <c r="F35" s="1023">
        <v>0.09</v>
      </c>
      <c r="G35" s="806">
        <v>7.0000000000000007E-2</v>
      </c>
      <c r="H35" s="784"/>
    </row>
    <row r="36" spans="2:8" s="12" customFormat="1" ht="17.25" customHeight="1">
      <c r="B36" s="788"/>
      <c r="C36" s="806" t="s">
        <v>478</v>
      </c>
      <c r="D36" s="1023">
        <v>0</v>
      </c>
      <c r="E36" s="806">
        <v>0.06</v>
      </c>
      <c r="F36" s="1023">
        <v>0.05</v>
      </c>
      <c r="G36" s="810" t="s">
        <v>287</v>
      </c>
      <c r="H36" s="784"/>
    </row>
    <row r="37" spans="2:8" s="12" customFormat="1" ht="17.25" customHeight="1">
      <c r="B37" s="788"/>
      <c r="C37" s="806" t="s">
        <v>479</v>
      </c>
      <c r="D37" s="1023">
        <v>0</v>
      </c>
      <c r="E37" s="806">
        <v>0.03</v>
      </c>
      <c r="F37" s="1023">
        <v>0.02</v>
      </c>
      <c r="G37" s="810" t="s">
        <v>287</v>
      </c>
      <c r="H37" s="784"/>
    </row>
    <row r="38" spans="2:8" s="12" customFormat="1" ht="17.25" customHeight="1" thickBot="1">
      <c r="B38" s="791"/>
      <c r="C38" s="811" t="s">
        <v>501</v>
      </c>
      <c r="D38" s="1021">
        <v>0</v>
      </c>
      <c r="E38" s="1017">
        <v>0.02</v>
      </c>
      <c r="F38" s="1021">
        <v>7.0000000000000007E-2</v>
      </c>
      <c r="G38" s="1021">
        <v>0.09</v>
      </c>
      <c r="H38" s="784"/>
    </row>
    <row r="39" spans="2:8" s="12" customFormat="1" ht="21.75" customHeight="1" thickTop="1">
      <c r="B39" s="1260" t="s">
        <v>248</v>
      </c>
      <c r="C39" s="1260"/>
      <c r="D39" s="840"/>
      <c r="E39" s="840"/>
      <c r="F39" s="840"/>
      <c r="G39" s="1066" t="s">
        <v>74</v>
      </c>
      <c r="H39" s="784"/>
    </row>
    <row r="40" spans="2:8" s="12" customFormat="1" ht="17.25" customHeight="1">
      <c r="B40" s="1281" t="s">
        <v>490</v>
      </c>
      <c r="C40" s="1281"/>
      <c r="D40" s="1281"/>
      <c r="E40" s="1281"/>
      <c r="F40" s="1281"/>
      <c r="G40" s="1281"/>
      <c r="H40" s="784"/>
    </row>
    <row r="41" spans="2:8" s="12" customFormat="1" ht="17.25" customHeight="1">
      <c r="B41" s="785"/>
      <c r="C41" s="786"/>
      <c r="D41" s="781"/>
      <c r="E41" s="782"/>
      <c r="F41" s="781"/>
      <c r="G41" s="783"/>
      <c r="H41" s="784"/>
    </row>
    <row r="42" spans="2:8" s="12" customFormat="1" ht="17.25" customHeight="1">
      <c r="B42" s="1122" t="s">
        <v>204</v>
      </c>
      <c r="C42" s="1122"/>
      <c r="D42" s="1122"/>
      <c r="E42" s="1122"/>
      <c r="F42" s="1122"/>
      <c r="G42" s="836">
        <v>67</v>
      </c>
      <c r="H42" s="784"/>
    </row>
    <row r="43" spans="2:8" s="12" customFormat="1" ht="23.25" customHeight="1">
      <c r="B43" s="1279" t="s">
        <v>551</v>
      </c>
      <c r="C43" s="1279"/>
      <c r="D43" s="1279"/>
      <c r="E43" s="1279"/>
      <c r="F43" s="1279"/>
      <c r="G43" s="1279"/>
      <c r="H43" s="784"/>
    </row>
    <row r="44" spans="2:8" s="12" customFormat="1" ht="25.5" customHeight="1" thickBot="1">
      <c r="B44" s="1278" t="s">
        <v>557</v>
      </c>
      <c r="C44" s="1278"/>
      <c r="D44" s="775"/>
      <c r="E44" s="775"/>
      <c r="F44" s="775"/>
      <c r="G44" s="775"/>
      <c r="H44" s="784"/>
    </row>
    <row r="45" spans="2:8" s="141" customFormat="1" ht="24" customHeight="1" thickTop="1">
      <c r="B45" s="844" t="s">
        <v>178</v>
      </c>
      <c r="C45" s="844" t="s">
        <v>0</v>
      </c>
      <c r="D45" s="844" t="s">
        <v>471</v>
      </c>
      <c r="E45" s="844" t="s">
        <v>472</v>
      </c>
      <c r="F45" s="844" t="s">
        <v>473</v>
      </c>
      <c r="G45" s="844" t="s">
        <v>474</v>
      </c>
      <c r="H45" s="845"/>
    </row>
    <row r="46" spans="2:8" s="12" customFormat="1" ht="17.25" customHeight="1">
      <c r="B46" s="789" t="s">
        <v>156</v>
      </c>
      <c r="C46" s="809" t="s">
        <v>476</v>
      </c>
      <c r="D46" s="1027">
        <v>1308</v>
      </c>
      <c r="E46" s="1027">
        <v>2198</v>
      </c>
      <c r="F46" s="1027">
        <v>4359.3</v>
      </c>
      <c r="G46" s="1027">
        <v>2981.5</v>
      </c>
      <c r="H46" s="784"/>
    </row>
    <row r="47" spans="2:8" s="12" customFormat="1" ht="17.25" customHeight="1">
      <c r="B47" s="787" t="s">
        <v>502</v>
      </c>
      <c r="C47" s="810" t="s">
        <v>477</v>
      </c>
      <c r="D47" s="1028">
        <v>1308</v>
      </c>
      <c r="E47" s="1028">
        <v>2195</v>
      </c>
      <c r="F47" s="1028">
        <v>4280.7</v>
      </c>
      <c r="G47" s="1028">
        <v>4405</v>
      </c>
      <c r="H47" s="784"/>
    </row>
    <row r="48" spans="2:8" s="12" customFormat="1" ht="17.25" customHeight="1">
      <c r="B48" s="796"/>
      <c r="C48" s="810" t="s">
        <v>478</v>
      </c>
      <c r="D48" s="1028">
        <v>1299</v>
      </c>
      <c r="E48" s="1028">
        <v>2088</v>
      </c>
      <c r="F48" s="1028">
        <v>4992.7</v>
      </c>
      <c r="G48" s="810" t="s">
        <v>287</v>
      </c>
      <c r="H48" s="784"/>
    </row>
    <row r="49" spans="2:8" s="12" customFormat="1" ht="17.25" customHeight="1">
      <c r="B49" s="796"/>
      <c r="C49" s="810" t="s">
        <v>479</v>
      </c>
      <c r="D49" s="1028">
        <v>1646</v>
      </c>
      <c r="E49" s="1028">
        <v>2304.6999999999998</v>
      </c>
      <c r="F49" s="1028">
        <v>5167</v>
      </c>
      <c r="G49" s="810" t="s">
        <v>287</v>
      </c>
      <c r="H49" s="784"/>
    </row>
    <row r="50" spans="2:8" s="12" customFormat="1" ht="17.25" customHeight="1">
      <c r="B50" s="796"/>
      <c r="C50" s="811" t="s">
        <v>501</v>
      </c>
      <c r="D50" s="1026">
        <v>1573.7</v>
      </c>
      <c r="E50" s="1026">
        <v>2156.3000000000002</v>
      </c>
      <c r="F50" s="1026">
        <v>4702</v>
      </c>
      <c r="G50" s="1026">
        <v>6007</v>
      </c>
      <c r="H50" s="784"/>
    </row>
    <row r="51" spans="2:8" s="12" customFormat="1" ht="17.25" customHeight="1">
      <c r="B51" s="797" t="s">
        <v>162</v>
      </c>
      <c r="C51" s="812" t="s">
        <v>476</v>
      </c>
      <c r="D51" s="1029">
        <v>7355</v>
      </c>
      <c r="E51" s="1029">
        <v>9090</v>
      </c>
      <c r="F51" s="1029">
        <v>14546.7</v>
      </c>
      <c r="G51" s="1029">
        <v>11150</v>
      </c>
      <c r="H51" s="784"/>
    </row>
    <row r="52" spans="2:8" s="12" customFormat="1" ht="17.25" customHeight="1">
      <c r="B52" s="795" t="s">
        <v>507</v>
      </c>
      <c r="C52" s="810" t="s">
        <v>477</v>
      </c>
      <c r="D52" s="1028">
        <v>7385</v>
      </c>
      <c r="E52" s="1028">
        <v>9116.7000000000007</v>
      </c>
      <c r="F52" s="1028">
        <v>14490</v>
      </c>
      <c r="G52" s="1028">
        <v>1110</v>
      </c>
      <c r="H52" s="784"/>
    </row>
    <row r="53" spans="2:8" s="12" customFormat="1" ht="17.25" customHeight="1">
      <c r="B53" s="796"/>
      <c r="C53" s="810" t="s">
        <v>478</v>
      </c>
      <c r="D53" s="1028">
        <v>7315</v>
      </c>
      <c r="E53" s="1028">
        <v>9176.7000000000007</v>
      </c>
      <c r="F53" s="1028">
        <v>18896.7</v>
      </c>
      <c r="G53" s="810" t="s">
        <v>287</v>
      </c>
      <c r="H53" s="784"/>
    </row>
    <row r="54" spans="2:8" s="12" customFormat="1" ht="17.25" customHeight="1">
      <c r="B54" s="796"/>
      <c r="C54" s="810" t="s">
        <v>479</v>
      </c>
      <c r="D54" s="1028">
        <v>10435</v>
      </c>
      <c r="E54" s="1028">
        <v>11636.7</v>
      </c>
      <c r="F54" s="1028">
        <v>19003.3</v>
      </c>
      <c r="G54" s="810" t="s">
        <v>287</v>
      </c>
      <c r="H54" s="784"/>
    </row>
    <row r="55" spans="2:8" s="12" customFormat="1" ht="17.25" customHeight="1">
      <c r="B55" s="796"/>
      <c r="C55" s="811" t="s">
        <v>501</v>
      </c>
      <c r="D55" s="1026">
        <v>14430</v>
      </c>
      <c r="E55" s="1026">
        <v>11623.3</v>
      </c>
      <c r="F55" s="1026">
        <v>17560</v>
      </c>
      <c r="G55" s="1026">
        <v>21850</v>
      </c>
      <c r="H55" s="784"/>
    </row>
    <row r="56" spans="2:8" s="12" customFormat="1" ht="17.25" customHeight="1">
      <c r="B56" s="797" t="s">
        <v>483</v>
      </c>
      <c r="C56" s="812" t="s">
        <v>476</v>
      </c>
      <c r="D56" s="1029">
        <v>16.5</v>
      </c>
      <c r="E56" s="1029">
        <v>96.7</v>
      </c>
      <c r="F56" s="1029">
        <v>35</v>
      </c>
      <c r="G56" s="1029">
        <v>28.5</v>
      </c>
      <c r="H56" s="784"/>
    </row>
    <row r="57" spans="2:8" s="12" customFormat="1" ht="17.25" customHeight="1">
      <c r="B57" s="795" t="s">
        <v>507</v>
      </c>
      <c r="C57" s="810" t="s">
        <v>477</v>
      </c>
      <c r="D57" s="1028">
        <v>16.5</v>
      </c>
      <c r="E57" s="1028">
        <v>46.7</v>
      </c>
      <c r="F57" s="1028">
        <v>44</v>
      </c>
      <c r="G57" s="1028">
        <v>19.5</v>
      </c>
      <c r="H57" s="784"/>
    </row>
    <row r="58" spans="2:8" s="12" customFormat="1" ht="17.25" customHeight="1">
      <c r="B58" s="796"/>
      <c r="C58" s="810" t="s">
        <v>478</v>
      </c>
      <c r="D58" s="1028">
        <v>2.6</v>
      </c>
      <c r="E58" s="1028">
        <v>70.5</v>
      </c>
      <c r="F58" s="1028">
        <v>7.1</v>
      </c>
      <c r="G58" s="810" t="s">
        <v>287</v>
      </c>
      <c r="H58" s="784"/>
    </row>
    <row r="59" spans="2:8" s="12" customFormat="1" ht="17.25" customHeight="1">
      <c r="B59" s="796"/>
      <c r="C59" s="810" t="s">
        <v>479</v>
      </c>
      <c r="D59" s="1028">
        <v>5.9</v>
      </c>
      <c r="E59" s="1028">
        <v>3.4</v>
      </c>
      <c r="F59" s="1028">
        <v>5.9</v>
      </c>
      <c r="G59" s="810" t="s">
        <v>287</v>
      </c>
      <c r="H59" s="784"/>
    </row>
    <row r="60" spans="2:8" s="12" customFormat="1" ht="17.25" customHeight="1">
      <c r="B60" s="796"/>
      <c r="C60" s="811" t="s">
        <v>501</v>
      </c>
      <c r="D60" s="1026">
        <v>5.2</v>
      </c>
      <c r="E60" s="1026">
        <v>5.0999999999999996</v>
      </c>
      <c r="F60" s="1026">
        <v>5.2</v>
      </c>
      <c r="G60" s="1026">
        <v>6</v>
      </c>
      <c r="H60" s="784"/>
    </row>
    <row r="61" spans="2:8" s="12" customFormat="1" ht="18" customHeight="1">
      <c r="B61" s="797" t="s">
        <v>484</v>
      </c>
      <c r="C61" s="812" t="s">
        <v>476</v>
      </c>
      <c r="D61" s="1029">
        <v>344</v>
      </c>
      <c r="E61" s="1029">
        <v>290</v>
      </c>
      <c r="F61" s="1029">
        <v>165.3</v>
      </c>
      <c r="G61" s="1029">
        <v>240</v>
      </c>
      <c r="H61" s="784"/>
    </row>
    <row r="62" spans="2:8" s="12" customFormat="1" ht="17.25" customHeight="1">
      <c r="B62" s="795" t="s">
        <v>507</v>
      </c>
      <c r="C62" s="810" t="s">
        <v>477</v>
      </c>
      <c r="D62" s="1028">
        <v>340</v>
      </c>
      <c r="E62" s="1028">
        <v>288</v>
      </c>
      <c r="F62" s="1028">
        <v>167.3</v>
      </c>
      <c r="G62" s="1028">
        <v>220</v>
      </c>
      <c r="H62" s="784"/>
    </row>
    <row r="63" spans="2:8" s="12" customFormat="1" ht="17.25" customHeight="1">
      <c r="B63" s="796"/>
      <c r="C63" s="810" t="s">
        <v>478</v>
      </c>
      <c r="D63" s="1028">
        <v>312</v>
      </c>
      <c r="E63" s="1028">
        <v>298.7</v>
      </c>
      <c r="F63" s="1028">
        <v>147.30000000000001</v>
      </c>
      <c r="G63" s="810" t="s">
        <v>287</v>
      </c>
      <c r="H63" s="784"/>
    </row>
    <row r="64" spans="2:8" s="12" customFormat="1" ht="17.25" customHeight="1">
      <c r="B64" s="796"/>
      <c r="C64" s="810" t="s">
        <v>479</v>
      </c>
      <c r="D64" s="1028">
        <v>332</v>
      </c>
      <c r="E64" s="1028">
        <v>227.3</v>
      </c>
      <c r="F64" s="1028">
        <v>151.30000000000001</v>
      </c>
      <c r="G64" s="810" t="s">
        <v>287</v>
      </c>
      <c r="H64" s="784"/>
    </row>
    <row r="65" spans="2:8" s="12" customFormat="1" ht="17.25" customHeight="1">
      <c r="B65" s="799"/>
      <c r="C65" s="811" t="s">
        <v>501</v>
      </c>
      <c r="D65" s="1026">
        <v>332</v>
      </c>
      <c r="E65" s="1026">
        <v>228.7</v>
      </c>
      <c r="F65" s="1026">
        <v>152</v>
      </c>
      <c r="G65" s="1057" t="s">
        <v>287</v>
      </c>
      <c r="H65" s="784"/>
    </row>
    <row r="66" spans="2:8" s="12" customFormat="1" ht="17.25" customHeight="1">
      <c r="B66" s="789" t="s">
        <v>503</v>
      </c>
      <c r="C66" s="812" t="s">
        <v>476</v>
      </c>
      <c r="D66" s="1025" t="s">
        <v>287</v>
      </c>
      <c r="E66" s="1029">
        <v>4.5999999999999996</v>
      </c>
      <c r="F66" s="810" t="s">
        <v>287</v>
      </c>
      <c r="G66" s="1029">
        <v>1.7</v>
      </c>
      <c r="H66" s="784"/>
    </row>
    <row r="67" spans="2:8" s="12" customFormat="1" ht="17.25" customHeight="1">
      <c r="B67" s="787" t="s">
        <v>502</v>
      </c>
      <c r="C67" s="810" t="s">
        <v>477</v>
      </c>
      <c r="D67" s="1024" t="s">
        <v>287</v>
      </c>
      <c r="E67" s="1028">
        <v>4.5999999999999996</v>
      </c>
      <c r="F67" s="810" t="s">
        <v>287</v>
      </c>
      <c r="G67" s="1028">
        <v>2.2999999999999998</v>
      </c>
      <c r="H67" s="784"/>
    </row>
    <row r="68" spans="2:8" s="12" customFormat="1" ht="17.25" customHeight="1">
      <c r="B68" s="796"/>
      <c r="C68" s="810" t="s">
        <v>478</v>
      </c>
      <c r="D68" s="1024" t="s">
        <v>287</v>
      </c>
      <c r="E68" s="1028">
        <v>2.2000000000000002</v>
      </c>
      <c r="F68" s="810" t="s">
        <v>287</v>
      </c>
      <c r="G68" s="810" t="s">
        <v>287</v>
      </c>
      <c r="H68" s="784"/>
    </row>
    <row r="69" spans="2:8" s="12" customFormat="1" ht="17.25" customHeight="1">
      <c r="B69" s="796"/>
      <c r="C69" s="810" t="s">
        <v>479</v>
      </c>
      <c r="D69" s="1024" t="s">
        <v>287</v>
      </c>
      <c r="E69" s="1028">
        <v>2.6</v>
      </c>
      <c r="F69" s="810" t="s">
        <v>287</v>
      </c>
      <c r="G69" s="810" t="s">
        <v>287</v>
      </c>
      <c r="H69" s="784"/>
    </row>
    <row r="70" spans="2:8" s="12" customFormat="1" ht="17.25" customHeight="1">
      <c r="B70" s="796"/>
      <c r="C70" s="811" t="s">
        <v>501</v>
      </c>
      <c r="D70" s="1057" t="s">
        <v>287</v>
      </c>
      <c r="E70" s="1026">
        <v>2.5</v>
      </c>
      <c r="F70" s="810" t="s">
        <v>287</v>
      </c>
      <c r="G70" s="1026">
        <v>3</v>
      </c>
      <c r="H70" s="784"/>
    </row>
    <row r="71" spans="2:8" s="12" customFormat="1" ht="17.25" customHeight="1">
      <c r="B71" s="789" t="s">
        <v>504</v>
      </c>
      <c r="C71" s="812" t="s">
        <v>476</v>
      </c>
      <c r="D71" s="1029">
        <v>1991</v>
      </c>
      <c r="E71" s="1029">
        <v>2621.3000000000002</v>
      </c>
      <c r="F71" s="1029">
        <v>3296.3</v>
      </c>
      <c r="G71" s="1029">
        <v>2123</v>
      </c>
      <c r="H71" s="784"/>
    </row>
    <row r="72" spans="2:8" s="12" customFormat="1" ht="17.25" customHeight="1">
      <c r="B72" s="787" t="s">
        <v>502</v>
      </c>
      <c r="C72" s="810" t="s">
        <v>477</v>
      </c>
      <c r="D72" s="1028">
        <v>1966</v>
      </c>
      <c r="E72" s="1028">
        <v>2616</v>
      </c>
      <c r="F72" s="1028">
        <v>3340.3</v>
      </c>
      <c r="G72" s="1028">
        <v>4414.5</v>
      </c>
      <c r="H72" s="784"/>
    </row>
    <row r="73" spans="2:8" s="12" customFormat="1" ht="17.25" customHeight="1">
      <c r="B73" s="796"/>
      <c r="C73" s="810" t="s">
        <v>478</v>
      </c>
      <c r="D73" s="1028">
        <v>833</v>
      </c>
      <c r="E73" s="1028">
        <v>2514</v>
      </c>
      <c r="F73" s="1028">
        <v>4490.3</v>
      </c>
      <c r="G73" s="810" t="s">
        <v>287</v>
      </c>
      <c r="H73" s="784"/>
    </row>
    <row r="74" spans="2:8" s="12" customFormat="1" ht="17.25" customHeight="1">
      <c r="B74" s="796"/>
      <c r="C74" s="810" t="s">
        <v>479</v>
      </c>
      <c r="D74" s="1028">
        <v>966.5</v>
      </c>
      <c r="E74" s="1028">
        <v>2841.3</v>
      </c>
      <c r="F74" s="1028">
        <v>4569.7</v>
      </c>
      <c r="G74" s="810" t="s">
        <v>287</v>
      </c>
      <c r="H74" s="784"/>
    </row>
    <row r="75" spans="2:8" s="12" customFormat="1" ht="17.25" customHeight="1" thickBot="1">
      <c r="B75" s="798"/>
      <c r="C75" s="811" t="s">
        <v>501</v>
      </c>
      <c r="D75" s="1030">
        <v>965.5</v>
      </c>
      <c r="E75" s="1030">
        <v>2900.3</v>
      </c>
      <c r="F75" s="1030">
        <v>4940.3</v>
      </c>
      <c r="G75" s="1030">
        <v>5344.5</v>
      </c>
      <c r="H75" s="784"/>
    </row>
    <row r="76" spans="2:8" s="12" customFormat="1" ht="15.75" thickTop="1">
      <c r="B76" s="1260" t="s">
        <v>248</v>
      </c>
      <c r="C76" s="1260"/>
      <c r="D76" s="780"/>
      <c r="E76" s="780"/>
      <c r="F76" s="780"/>
      <c r="G76" s="780"/>
      <c r="H76" s="784"/>
    </row>
    <row r="77" spans="2:8" s="12" customFormat="1">
      <c r="B77" s="1135" t="s">
        <v>490</v>
      </c>
      <c r="C77" s="1135"/>
      <c r="D77" s="1135"/>
      <c r="E77" s="1135"/>
      <c r="F77" s="1135"/>
      <c r="G77" s="1135"/>
      <c r="H77" s="784"/>
    </row>
    <row r="78" spans="2:8" s="12" customFormat="1">
      <c r="B78" s="772"/>
      <c r="C78" s="772"/>
      <c r="D78" s="772"/>
      <c r="E78" s="772"/>
      <c r="F78" s="772"/>
      <c r="G78" s="835"/>
      <c r="H78" s="784"/>
    </row>
    <row r="79" spans="2:8" s="12" customFormat="1">
      <c r="B79" s="772"/>
      <c r="C79" s="772"/>
      <c r="D79" s="772"/>
      <c r="E79" s="772"/>
      <c r="F79" s="772"/>
      <c r="G79" s="772"/>
      <c r="H79" s="784"/>
    </row>
    <row r="80" spans="2:8" s="12" customFormat="1">
      <c r="B80" s="772"/>
      <c r="C80" s="772"/>
      <c r="D80" s="772"/>
      <c r="E80" s="772"/>
      <c r="F80" s="772"/>
      <c r="G80" s="772"/>
      <c r="H80" s="784"/>
    </row>
    <row r="81" spans="2:9" s="12" customFormat="1">
      <c r="B81" s="772"/>
      <c r="C81" s="772"/>
      <c r="D81" s="772"/>
      <c r="E81" s="772"/>
      <c r="F81" s="772"/>
      <c r="G81" s="772"/>
      <c r="H81" s="784"/>
    </row>
    <row r="82" spans="2:9" s="12" customFormat="1">
      <c r="B82" s="772"/>
      <c r="C82" s="772"/>
      <c r="D82" s="772"/>
      <c r="E82" s="772"/>
      <c r="F82" s="772"/>
      <c r="G82" s="772"/>
      <c r="H82" s="784"/>
    </row>
    <row r="83" spans="2:9" s="12" customFormat="1">
      <c r="B83" s="772"/>
      <c r="C83" s="772"/>
      <c r="D83" s="772"/>
      <c r="E83" s="772"/>
      <c r="F83" s="772"/>
      <c r="G83" s="772"/>
      <c r="H83" s="784"/>
    </row>
    <row r="84" spans="2:9" s="12" customFormat="1">
      <c r="B84" s="772"/>
      <c r="C84" s="772"/>
      <c r="D84" s="772"/>
      <c r="E84" s="772"/>
      <c r="F84" s="772"/>
      <c r="G84" s="772"/>
      <c r="H84" s="784"/>
    </row>
    <row r="85" spans="2:9" s="12" customFormat="1" ht="24" customHeight="1">
      <c r="B85" s="1122" t="s">
        <v>204</v>
      </c>
      <c r="C85" s="1122"/>
      <c r="D85" s="1122"/>
      <c r="E85" s="1122"/>
      <c r="F85" s="1122"/>
      <c r="G85" s="836">
        <v>68</v>
      </c>
      <c r="H85" s="784"/>
    </row>
    <row r="86" spans="2:9" s="12" customFormat="1" ht="25.5" customHeight="1">
      <c r="B86" s="1279" t="s">
        <v>552</v>
      </c>
      <c r="C86" s="1279"/>
      <c r="D86" s="1279"/>
      <c r="E86" s="1279"/>
      <c r="F86" s="1279"/>
      <c r="G86" s="1279"/>
      <c r="H86" s="846"/>
      <c r="I86" s="846"/>
    </row>
    <row r="87" spans="2:9" s="12" customFormat="1" ht="22.5" customHeight="1" thickBot="1">
      <c r="B87" s="1278" t="s">
        <v>558</v>
      </c>
      <c r="C87" s="1278"/>
      <c r="D87" s="775"/>
      <c r="E87" s="775"/>
      <c r="F87" s="775"/>
      <c r="G87" s="775"/>
      <c r="H87" s="775"/>
      <c r="I87" s="775"/>
    </row>
    <row r="88" spans="2:9" s="141" customFormat="1" ht="27" customHeight="1" thickTop="1">
      <c r="B88" s="844" t="s">
        <v>178</v>
      </c>
      <c r="C88" s="844" t="s">
        <v>0</v>
      </c>
      <c r="D88" s="844" t="s">
        <v>471</v>
      </c>
      <c r="E88" s="844" t="s">
        <v>472</v>
      </c>
      <c r="F88" s="844" t="s">
        <v>473</v>
      </c>
      <c r="G88" s="844" t="s">
        <v>474</v>
      </c>
    </row>
    <row r="89" spans="2:9" s="12" customFormat="1" ht="17.25" customHeight="1">
      <c r="B89" s="797" t="s">
        <v>101</v>
      </c>
      <c r="C89" s="809" t="s">
        <v>486</v>
      </c>
      <c r="D89" s="839">
        <v>7.6</v>
      </c>
      <c r="E89" s="839">
        <v>7.7</v>
      </c>
      <c r="F89" s="839">
        <v>11</v>
      </c>
      <c r="G89" s="839" t="s">
        <v>287</v>
      </c>
    </row>
    <row r="90" spans="2:9" s="12" customFormat="1" ht="17.25" customHeight="1">
      <c r="B90" s="795"/>
      <c r="C90" s="809" t="s">
        <v>487</v>
      </c>
      <c r="D90" s="838">
        <v>7.5</v>
      </c>
      <c r="E90" s="838">
        <v>7.7</v>
      </c>
      <c r="F90" s="838">
        <v>7.8</v>
      </c>
      <c r="G90" s="838" t="s">
        <v>287</v>
      </c>
    </row>
    <row r="91" spans="2:9" s="12" customFormat="1" ht="17.25" customHeight="1">
      <c r="B91" s="796"/>
      <c r="C91" s="810" t="s">
        <v>488</v>
      </c>
      <c r="D91" s="838">
        <v>7.4</v>
      </c>
      <c r="E91" s="838">
        <v>7.45</v>
      </c>
      <c r="F91" s="838">
        <v>7.5</v>
      </c>
      <c r="G91" s="838" t="s">
        <v>287</v>
      </c>
    </row>
    <row r="92" spans="2:9" s="12" customFormat="1" ht="17.25" customHeight="1">
      <c r="B92" s="799"/>
      <c r="C92" s="813" t="s">
        <v>489</v>
      </c>
      <c r="D92" s="841">
        <v>7.8</v>
      </c>
      <c r="E92" s="841">
        <v>7.7</v>
      </c>
      <c r="F92" s="841">
        <v>7.8</v>
      </c>
      <c r="G92" s="841" t="s">
        <v>287</v>
      </c>
    </row>
    <row r="93" spans="2:9" s="12" customFormat="1" ht="17.25" customHeight="1">
      <c r="B93" s="797" t="s">
        <v>150</v>
      </c>
      <c r="C93" s="809" t="s">
        <v>486</v>
      </c>
      <c r="D93" s="837">
        <v>922</v>
      </c>
      <c r="E93" s="837">
        <v>1474</v>
      </c>
      <c r="F93" s="837">
        <v>3144.7</v>
      </c>
      <c r="G93" s="839" t="s">
        <v>287</v>
      </c>
    </row>
    <row r="94" spans="2:9" s="12" customFormat="1" ht="17.25" customHeight="1">
      <c r="B94" s="795" t="s">
        <v>507</v>
      </c>
      <c r="C94" s="810" t="s">
        <v>487</v>
      </c>
      <c r="D94" s="838">
        <v>1476.7</v>
      </c>
      <c r="E94" s="838">
        <v>1351.3</v>
      </c>
      <c r="F94" s="838">
        <v>2762.7</v>
      </c>
      <c r="G94" s="838" t="s">
        <v>287</v>
      </c>
    </row>
    <row r="95" spans="2:9" s="12" customFormat="1" ht="17.25" customHeight="1">
      <c r="B95" s="796"/>
      <c r="C95" s="810" t="s">
        <v>488</v>
      </c>
      <c r="D95" s="838">
        <v>1477</v>
      </c>
      <c r="E95" s="838">
        <v>1537.3</v>
      </c>
      <c r="F95" s="838">
        <v>3293.7</v>
      </c>
      <c r="G95" s="838" t="s">
        <v>287</v>
      </c>
    </row>
    <row r="96" spans="2:9" s="12" customFormat="1" ht="17.25" customHeight="1">
      <c r="B96" s="799"/>
      <c r="C96" s="813" t="s">
        <v>489</v>
      </c>
      <c r="D96" s="843">
        <v>1451</v>
      </c>
      <c r="E96" s="843">
        <v>1360.3</v>
      </c>
      <c r="F96" s="843">
        <v>3348.7</v>
      </c>
      <c r="G96" s="841" t="s">
        <v>287</v>
      </c>
    </row>
    <row r="97" spans="2:7" s="12" customFormat="1" ht="17.25" customHeight="1">
      <c r="B97" s="797" t="s">
        <v>158</v>
      </c>
      <c r="C97" s="809" t="s">
        <v>486</v>
      </c>
      <c r="D97" s="839">
        <v>244.3</v>
      </c>
      <c r="E97" s="839">
        <v>410.7</v>
      </c>
      <c r="F97" s="839">
        <v>857.3</v>
      </c>
      <c r="G97" s="839" t="s">
        <v>287</v>
      </c>
    </row>
    <row r="98" spans="2:7" s="12" customFormat="1" ht="17.25" customHeight="1">
      <c r="B98" s="795" t="s">
        <v>507</v>
      </c>
      <c r="C98" s="810" t="s">
        <v>487</v>
      </c>
      <c r="D98" s="838">
        <v>400.7</v>
      </c>
      <c r="E98" s="838">
        <v>380</v>
      </c>
      <c r="F98" s="838">
        <v>841.3</v>
      </c>
      <c r="G98" s="838" t="s">
        <v>287</v>
      </c>
    </row>
    <row r="99" spans="2:7" s="12" customFormat="1" ht="17.25" customHeight="1">
      <c r="B99" s="796"/>
      <c r="C99" s="810" t="s">
        <v>488</v>
      </c>
      <c r="D99" s="838">
        <v>443.3</v>
      </c>
      <c r="E99" s="838">
        <v>354</v>
      </c>
      <c r="F99" s="838">
        <v>841.7</v>
      </c>
      <c r="G99" s="838" t="s">
        <v>287</v>
      </c>
    </row>
    <row r="100" spans="2:7" s="12" customFormat="1" ht="17.25" customHeight="1">
      <c r="B100" s="799"/>
      <c r="C100" s="813" t="s">
        <v>489</v>
      </c>
      <c r="D100" s="841">
        <v>427</v>
      </c>
      <c r="E100" s="841">
        <v>387.3</v>
      </c>
      <c r="F100" s="841">
        <v>862</v>
      </c>
      <c r="G100" s="841" t="s">
        <v>287</v>
      </c>
    </row>
    <row r="101" spans="2:7" s="12" customFormat="1" ht="17.25" customHeight="1">
      <c r="B101" s="797" t="s">
        <v>160</v>
      </c>
      <c r="C101" s="809" t="s">
        <v>486</v>
      </c>
      <c r="D101" s="837">
        <v>76.099999999999994</v>
      </c>
      <c r="E101" s="837">
        <v>184.7</v>
      </c>
      <c r="F101" s="837">
        <v>336.7</v>
      </c>
      <c r="G101" s="839" t="s">
        <v>287</v>
      </c>
    </row>
    <row r="102" spans="2:7" s="12" customFormat="1" ht="17.25" customHeight="1">
      <c r="B102" s="795" t="s">
        <v>507</v>
      </c>
      <c r="C102" s="810" t="s">
        <v>487</v>
      </c>
      <c r="D102" s="838">
        <v>92.7</v>
      </c>
      <c r="E102" s="838">
        <v>177.1</v>
      </c>
      <c r="F102" s="838">
        <v>315.3</v>
      </c>
      <c r="G102" s="838" t="s">
        <v>287</v>
      </c>
    </row>
    <row r="103" spans="2:7" s="12" customFormat="1" ht="17.25" customHeight="1">
      <c r="B103" s="796"/>
      <c r="C103" s="810" t="s">
        <v>488</v>
      </c>
      <c r="D103" s="838">
        <v>85.9</v>
      </c>
      <c r="E103" s="838">
        <v>159.4</v>
      </c>
      <c r="F103" s="838">
        <v>290.7</v>
      </c>
      <c r="G103" s="838" t="s">
        <v>287</v>
      </c>
    </row>
    <row r="104" spans="2:7" s="12" customFormat="1" ht="17.25" customHeight="1">
      <c r="B104" s="799"/>
      <c r="C104" s="813" t="s">
        <v>489</v>
      </c>
      <c r="D104" s="843">
        <v>87.7</v>
      </c>
      <c r="E104" s="843">
        <v>180.9</v>
      </c>
      <c r="F104" s="843">
        <v>294</v>
      </c>
      <c r="G104" s="841" t="s">
        <v>287</v>
      </c>
    </row>
    <row r="105" spans="2:7" s="12" customFormat="1" ht="17.25" customHeight="1">
      <c r="B105" s="797" t="s">
        <v>480</v>
      </c>
      <c r="C105" s="809" t="s">
        <v>486</v>
      </c>
      <c r="D105" s="839">
        <v>4886.7</v>
      </c>
      <c r="E105" s="839">
        <v>7676</v>
      </c>
      <c r="F105" s="839">
        <v>11476.7</v>
      </c>
      <c r="G105" s="839" t="s">
        <v>287</v>
      </c>
    </row>
    <row r="106" spans="2:7" s="12" customFormat="1" ht="17.25" customHeight="1">
      <c r="B106" s="795" t="s">
        <v>507</v>
      </c>
      <c r="C106" s="810" t="s">
        <v>487</v>
      </c>
      <c r="D106" s="838">
        <v>9059</v>
      </c>
      <c r="E106" s="838">
        <v>8816.7000000000007</v>
      </c>
      <c r="F106" s="838">
        <v>12467.3</v>
      </c>
      <c r="G106" s="838" t="s">
        <v>287</v>
      </c>
    </row>
    <row r="107" spans="2:7" s="12" customFormat="1" ht="17.25" customHeight="1">
      <c r="B107" s="796"/>
      <c r="C107" s="810" t="s">
        <v>488</v>
      </c>
      <c r="D107" s="838">
        <v>8483.2999999999993</v>
      </c>
      <c r="E107" s="838">
        <v>8266.7000000000007</v>
      </c>
      <c r="F107" s="838">
        <v>12852.7</v>
      </c>
      <c r="G107" s="838" t="s">
        <v>287</v>
      </c>
    </row>
    <row r="108" spans="2:7" s="12" customFormat="1" ht="17.25" customHeight="1">
      <c r="B108" s="799"/>
      <c r="C108" s="814" t="s">
        <v>489</v>
      </c>
      <c r="D108" s="841">
        <v>8198.7000000000007</v>
      </c>
      <c r="E108" s="841">
        <v>9021.2999999999993</v>
      </c>
      <c r="F108" s="841">
        <v>12762.7</v>
      </c>
      <c r="G108" s="841" t="s">
        <v>287</v>
      </c>
    </row>
    <row r="109" spans="2:7" s="12" customFormat="1" ht="17.25" customHeight="1">
      <c r="B109" s="795" t="s">
        <v>506</v>
      </c>
      <c r="C109" s="812" t="s">
        <v>486</v>
      </c>
      <c r="D109" s="839">
        <v>8.6999999999999993</v>
      </c>
      <c r="E109" s="839">
        <v>12.6</v>
      </c>
      <c r="F109" s="839">
        <v>12.4</v>
      </c>
      <c r="G109" s="839" t="s">
        <v>287</v>
      </c>
    </row>
    <row r="110" spans="2:7" s="12" customFormat="1" ht="17.25" customHeight="1">
      <c r="B110" s="795" t="s">
        <v>507</v>
      </c>
      <c r="C110" s="809" t="s">
        <v>487</v>
      </c>
      <c r="D110" s="838">
        <v>7.2</v>
      </c>
      <c r="E110" s="838">
        <v>14.9</v>
      </c>
      <c r="F110" s="838">
        <v>9.3000000000000007</v>
      </c>
      <c r="G110" s="838" t="s">
        <v>287</v>
      </c>
    </row>
    <row r="111" spans="2:7" s="12" customFormat="1" ht="17.25" customHeight="1">
      <c r="B111" s="796"/>
      <c r="C111" s="810" t="s">
        <v>488</v>
      </c>
      <c r="D111" s="838">
        <v>7.1</v>
      </c>
      <c r="E111" s="838">
        <v>12.5</v>
      </c>
      <c r="F111" s="838">
        <v>12.1</v>
      </c>
      <c r="G111" s="838" t="s">
        <v>287</v>
      </c>
    </row>
    <row r="112" spans="2:7" s="12" customFormat="1" ht="17.25" customHeight="1">
      <c r="B112" s="799"/>
      <c r="C112" s="813" t="s">
        <v>489</v>
      </c>
      <c r="D112" s="841">
        <v>9.8000000000000007</v>
      </c>
      <c r="E112" s="841">
        <v>13.6</v>
      </c>
      <c r="F112" s="841">
        <v>12.3</v>
      </c>
      <c r="G112" s="841" t="s">
        <v>287</v>
      </c>
    </row>
    <row r="113" spans="2:8" s="12" customFormat="1" ht="17.25" customHeight="1">
      <c r="B113" s="797" t="s">
        <v>505</v>
      </c>
      <c r="C113" s="809" t="s">
        <v>486</v>
      </c>
      <c r="D113" s="837">
        <v>1.2</v>
      </c>
      <c r="E113" s="837">
        <v>1.1000000000000001</v>
      </c>
      <c r="F113" s="837">
        <v>1.9</v>
      </c>
      <c r="G113" s="839" t="s">
        <v>287</v>
      </c>
    </row>
    <row r="114" spans="2:8" s="12" customFormat="1" ht="17.25" customHeight="1">
      <c r="B114" s="795" t="s">
        <v>507</v>
      </c>
      <c r="C114" s="810" t="s">
        <v>487</v>
      </c>
      <c r="D114" s="838">
        <v>0.6</v>
      </c>
      <c r="E114" s="838">
        <v>0.9</v>
      </c>
      <c r="F114" s="838">
        <v>1</v>
      </c>
      <c r="G114" s="838" t="s">
        <v>287</v>
      </c>
    </row>
    <row r="115" spans="2:8" s="12" customFormat="1" ht="17.25" customHeight="1">
      <c r="B115" s="796"/>
      <c r="C115" s="810" t="s">
        <v>488</v>
      </c>
      <c r="D115" s="838">
        <v>0.7</v>
      </c>
      <c r="E115" s="838">
        <v>1</v>
      </c>
      <c r="F115" s="838">
        <v>1.8</v>
      </c>
      <c r="G115" s="838" t="s">
        <v>287</v>
      </c>
    </row>
    <row r="116" spans="2:8" s="12" customFormat="1" ht="17.25" customHeight="1">
      <c r="B116" s="796"/>
      <c r="C116" s="814" t="s">
        <v>489</v>
      </c>
      <c r="D116" s="843">
        <v>0.7</v>
      </c>
      <c r="E116" s="843">
        <v>0.8</v>
      </c>
      <c r="F116" s="843">
        <v>1.8</v>
      </c>
      <c r="G116" s="841" t="s">
        <v>287</v>
      </c>
    </row>
    <row r="117" spans="2:8" s="12" customFormat="1" ht="17.25" customHeight="1">
      <c r="B117" s="797" t="s">
        <v>156</v>
      </c>
      <c r="C117" s="812" t="s">
        <v>486</v>
      </c>
      <c r="D117" s="839">
        <v>901.7</v>
      </c>
      <c r="E117" s="839">
        <v>1642.3</v>
      </c>
      <c r="F117" s="839">
        <v>2474.1</v>
      </c>
      <c r="G117" s="839" t="s">
        <v>287</v>
      </c>
      <c r="H117" s="815"/>
    </row>
    <row r="118" spans="2:8" s="12" customFormat="1" ht="17.25" customHeight="1">
      <c r="B118" s="795" t="s">
        <v>507</v>
      </c>
      <c r="C118" s="810" t="s">
        <v>487</v>
      </c>
      <c r="D118" s="838">
        <v>1409.7</v>
      </c>
      <c r="E118" s="838">
        <v>1803.7</v>
      </c>
      <c r="F118" s="838">
        <v>2230.1999999999998</v>
      </c>
      <c r="G118" s="838" t="s">
        <v>287</v>
      </c>
      <c r="H118" s="815"/>
    </row>
    <row r="119" spans="2:8" s="12" customFormat="1" ht="17.25" customHeight="1">
      <c r="B119" s="796"/>
      <c r="C119" s="810" t="s">
        <v>488</v>
      </c>
      <c r="D119" s="838">
        <v>1425.7</v>
      </c>
      <c r="E119" s="838">
        <v>1668</v>
      </c>
      <c r="F119" s="838">
        <v>2305.1</v>
      </c>
      <c r="G119" s="838" t="s">
        <v>287</v>
      </c>
      <c r="H119" s="815"/>
    </row>
    <row r="120" spans="2:8" s="12" customFormat="1" ht="17.25" customHeight="1">
      <c r="B120" s="799"/>
      <c r="C120" s="813" t="s">
        <v>489</v>
      </c>
      <c r="D120" s="841">
        <v>1358.3</v>
      </c>
      <c r="E120" s="841">
        <v>1842</v>
      </c>
      <c r="F120" s="841">
        <v>2254.6999999999998</v>
      </c>
      <c r="G120" s="841" t="s">
        <v>287</v>
      </c>
      <c r="H120" s="793"/>
    </row>
    <row r="121" spans="2:8" s="12" customFormat="1" ht="17.25" customHeight="1">
      <c r="B121" s="795" t="s">
        <v>485</v>
      </c>
      <c r="C121" s="812" t="s">
        <v>486</v>
      </c>
      <c r="D121" s="839">
        <v>4965.7</v>
      </c>
      <c r="E121" s="839">
        <v>11138</v>
      </c>
      <c r="F121" s="839">
        <v>16794.3</v>
      </c>
      <c r="G121" s="839" t="s">
        <v>287</v>
      </c>
      <c r="H121" s="793"/>
    </row>
    <row r="122" spans="2:8" s="12" customFormat="1" ht="17.25" customHeight="1">
      <c r="B122" s="795"/>
      <c r="C122" s="810" t="s">
        <v>487</v>
      </c>
      <c r="D122" s="838">
        <v>11488.3</v>
      </c>
      <c r="E122" s="838">
        <v>12279</v>
      </c>
      <c r="F122" s="838">
        <v>16342.3</v>
      </c>
      <c r="G122" s="838" t="s">
        <v>287</v>
      </c>
      <c r="H122" s="793"/>
    </row>
    <row r="123" spans="2:8" s="12" customFormat="1" ht="17.25" customHeight="1">
      <c r="B123" s="796"/>
      <c r="C123" s="810" t="s">
        <v>488</v>
      </c>
      <c r="D123" s="838">
        <v>7509.3</v>
      </c>
      <c r="E123" s="838">
        <v>11489</v>
      </c>
      <c r="F123" s="838">
        <v>10919.3</v>
      </c>
      <c r="G123" s="838" t="s">
        <v>287</v>
      </c>
      <c r="H123" s="793"/>
    </row>
    <row r="124" spans="2:8" s="12" customFormat="1" ht="17.25" customHeight="1" thickBot="1">
      <c r="B124" s="798"/>
      <c r="C124" s="816" t="s">
        <v>489</v>
      </c>
      <c r="D124" s="842">
        <v>11232</v>
      </c>
      <c r="E124" s="842">
        <v>12620</v>
      </c>
      <c r="F124" s="842">
        <v>16707</v>
      </c>
      <c r="G124" s="842" t="s">
        <v>287</v>
      </c>
      <c r="H124" s="793"/>
    </row>
    <row r="125" spans="2:8" s="12" customFormat="1" ht="18" customHeight="1" thickTop="1">
      <c r="B125" s="1260" t="s">
        <v>248</v>
      </c>
      <c r="C125" s="1260"/>
      <c r="F125" s="781"/>
      <c r="G125" s="1065" t="s">
        <v>74</v>
      </c>
      <c r="H125" s="784"/>
    </row>
    <row r="126" spans="2:8" s="12" customFormat="1" ht="19.5" customHeight="1">
      <c r="B126" s="1282" t="s">
        <v>490</v>
      </c>
      <c r="C126" s="1282"/>
      <c r="D126" s="1282"/>
      <c r="E126" s="1282"/>
      <c r="F126" s="794"/>
      <c r="G126" s="783"/>
    </row>
    <row r="127" spans="2:8" s="12" customFormat="1" ht="21.75" customHeight="1">
      <c r="B127" s="1122" t="s">
        <v>204</v>
      </c>
      <c r="C127" s="1122"/>
      <c r="D127" s="1122"/>
      <c r="E127" s="1122"/>
      <c r="F127" s="1122"/>
      <c r="G127" s="836">
        <v>69</v>
      </c>
    </row>
    <row r="128" spans="2:8" s="12" customFormat="1" ht="29.25" customHeight="1">
      <c r="B128" s="1279" t="s">
        <v>553</v>
      </c>
      <c r="C128" s="1279"/>
      <c r="D128" s="1279"/>
      <c r="E128" s="1279"/>
      <c r="F128" s="1279"/>
      <c r="G128" s="1279"/>
    </row>
    <row r="129" spans="2:8" s="12" customFormat="1" ht="19.5" customHeight="1" thickBot="1">
      <c r="B129" s="1278" t="s">
        <v>559</v>
      </c>
      <c r="C129" s="1278"/>
      <c r="D129" s="775"/>
      <c r="E129" s="775"/>
      <c r="F129" s="775"/>
      <c r="G129" s="775"/>
    </row>
    <row r="130" spans="2:8" s="141" customFormat="1" ht="26.25" customHeight="1" thickTop="1">
      <c r="B130" s="844" t="s">
        <v>178</v>
      </c>
      <c r="C130" s="844" t="s">
        <v>0</v>
      </c>
      <c r="D130" s="844" t="s">
        <v>471</v>
      </c>
      <c r="E130" s="844" t="s">
        <v>472</v>
      </c>
      <c r="F130" s="844" t="s">
        <v>473</v>
      </c>
      <c r="G130" s="844" t="s">
        <v>474</v>
      </c>
    </row>
    <row r="131" spans="2:8" s="12" customFormat="1" ht="17.25" customHeight="1">
      <c r="B131" s="797" t="s">
        <v>483</v>
      </c>
      <c r="C131" s="812" t="s">
        <v>486</v>
      </c>
      <c r="D131" s="837">
        <v>9.8000000000000007</v>
      </c>
      <c r="E131" s="837">
        <v>7.1</v>
      </c>
      <c r="F131" s="837">
        <v>8.3000000000000007</v>
      </c>
      <c r="G131" s="839" t="s">
        <v>287</v>
      </c>
      <c r="H131" s="815"/>
    </row>
    <row r="132" spans="2:8" s="12" customFormat="1" ht="17.25" customHeight="1">
      <c r="B132" s="795"/>
      <c r="C132" s="810" t="s">
        <v>487</v>
      </c>
      <c r="D132" s="838">
        <v>7.6</v>
      </c>
      <c r="E132" s="838">
        <v>6.8</v>
      </c>
      <c r="F132" s="838">
        <v>6.4</v>
      </c>
      <c r="G132" s="838" t="s">
        <v>287</v>
      </c>
      <c r="H132" s="815"/>
    </row>
    <row r="133" spans="2:8" s="12" customFormat="1" ht="17.25" customHeight="1">
      <c r="B133" s="796"/>
      <c r="C133" s="810" t="s">
        <v>488</v>
      </c>
      <c r="D133" s="838">
        <v>10.9</v>
      </c>
      <c r="E133" s="838">
        <v>9.5</v>
      </c>
      <c r="F133" s="838">
        <v>7.5</v>
      </c>
      <c r="G133" s="838" t="s">
        <v>287</v>
      </c>
      <c r="H133" s="815"/>
    </row>
    <row r="134" spans="2:8" s="12" customFormat="1" ht="17.25" customHeight="1">
      <c r="B134" s="799"/>
      <c r="C134" s="813" t="s">
        <v>489</v>
      </c>
      <c r="D134" s="841">
        <v>8.6</v>
      </c>
      <c r="E134" s="841">
        <v>6.2</v>
      </c>
      <c r="F134" s="841">
        <v>5.6159999999999997</v>
      </c>
      <c r="G134" s="841" t="s">
        <v>287</v>
      </c>
      <c r="H134" s="815"/>
    </row>
    <row r="135" spans="2:8" s="12" customFormat="1" ht="17.25" customHeight="1">
      <c r="B135" s="797" t="s">
        <v>484</v>
      </c>
      <c r="C135" s="812" t="s">
        <v>486</v>
      </c>
      <c r="D135" s="837">
        <v>186.7</v>
      </c>
      <c r="E135" s="837">
        <v>197.3</v>
      </c>
      <c r="F135" s="837">
        <v>196.7</v>
      </c>
      <c r="G135" s="839" t="s">
        <v>287</v>
      </c>
      <c r="H135" s="815"/>
    </row>
    <row r="136" spans="2:8" s="12" customFormat="1" ht="17.25" customHeight="1">
      <c r="B136" s="795" t="s">
        <v>507</v>
      </c>
      <c r="C136" s="810" t="s">
        <v>487</v>
      </c>
      <c r="D136" s="838">
        <v>195.3</v>
      </c>
      <c r="E136" s="838">
        <v>189.7</v>
      </c>
      <c r="F136" s="838">
        <v>193.3</v>
      </c>
      <c r="G136" s="838" t="s">
        <v>287</v>
      </c>
      <c r="H136" s="815"/>
    </row>
    <row r="137" spans="2:8" s="12" customFormat="1" ht="17.25" customHeight="1">
      <c r="B137" s="796"/>
      <c r="C137" s="810" t="s">
        <v>488</v>
      </c>
      <c r="D137" s="838">
        <v>190.7</v>
      </c>
      <c r="E137" s="838">
        <v>198.7</v>
      </c>
      <c r="F137" s="838">
        <v>194.7</v>
      </c>
      <c r="G137" s="838" t="s">
        <v>287</v>
      </c>
      <c r="H137" s="815"/>
    </row>
    <row r="138" spans="2:8" s="12" customFormat="1" ht="17.25" customHeight="1">
      <c r="B138" s="796"/>
      <c r="C138" s="813" t="s">
        <v>489</v>
      </c>
      <c r="D138" s="841">
        <v>196.7</v>
      </c>
      <c r="E138" s="841">
        <v>194.7</v>
      </c>
      <c r="F138" s="841">
        <v>194.7</v>
      </c>
      <c r="G138" s="841" t="s">
        <v>287</v>
      </c>
      <c r="H138" s="815"/>
    </row>
    <row r="139" spans="2:8" s="12" customFormat="1" ht="17.25" customHeight="1">
      <c r="B139" s="797" t="s">
        <v>481</v>
      </c>
      <c r="C139" s="812" t="s">
        <v>486</v>
      </c>
      <c r="D139" s="837">
        <v>9.4</v>
      </c>
      <c r="E139" s="837">
        <v>9</v>
      </c>
      <c r="F139" s="837">
        <v>10.3</v>
      </c>
      <c r="G139" s="839" t="s">
        <v>287</v>
      </c>
      <c r="H139" s="815"/>
    </row>
    <row r="140" spans="2:8" s="12" customFormat="1" ht="17.25" customHeight="1">
      <c r="B140" s="795" t="s">
        <v>507</v>
      </c>
      <c r="C140" s="810" t="s">
        <v>487</v>
      </c>
      <c r="D140" s="838">
        <v>9.1999999999999993</v>
      </c>
      <c r="E140" s="838">
        <v>10</v>
      </c>
      <c r="F140" s="838">
        <v>9.5</v>
      </c>
      <c r="G140" s="838" t="s">
        <v>287</v>
      </c>
      <c r="H140" s="793"/>
    </row>
    <row r="141" spans="2:8" s="12" customFormat="1" ht="17.25" customHeight="1">
      <c r="B141" s="796"/>
      <c r="C141" s="810" t="s">
        <v>488</v>
      </c>
      <c r="D141" s="838">
        <v>10</v>
      </c>
      <c r="E141" s="838">
        <v>10.1</v>
      </c>
      <c r="F141" s="838">
        <v>10</v>
      </c>
      <c r="G141" s="838" t="s">
        <v>287</v>
      </c>
      <c r="H141" s="793"/>
    </row>
    <row r="142" spans="2:8" s="12" customFormat="1" ht="17.25" customHeight="1">
      <c r="B142" s="796"/>
      <c r="C142" s="813" t="s">
        <v>489</v>
      </c>
      <c r="D142" s="841">
        <v>9.6660000000000004</v>
      </c>
      <c r="E142" s="841">
        <v>10.9</v>
      </c>
      <c r="F142" s="841">
        <v>9.6999999999999993</v>
      </c>
      <c r="G142" s="841" t="s">
        <v>287</v>
      </c>
      <c r="H142" s="793"/>
    </row>
    <row r="143" spans="2:8" s="12" customFormat="1" ht="17.25" customHeight="1">
      <c r="B143" s="797" t="s">
        <v>164</v>
      </c>
      <c r="C143" s="812" t="s">
        <v>486</v>
      </c>
      <c r="D143" s="837">
        <v>802</v>
      </c>
      <c r="E143" s="837">
        <v>1552.7</v>
      </c>
      <c r="F143" s="837">
        <v>2212</v>
      </c>
      <c r="G143" s="839" t="s">
        <v>287</v>
      </c>
      <c r="H143" s="793"/>
    </row>
    <row r="144" spans="2:8" s="12" customFormat="1" ht="17.25" customHeight="1">
      <c r="B144" s="795" t="s">
        <v>507</v>
      </c>
      <c r="C144" s="810" t="s">
        <v>487</v>
      </c>
      <c r="D144" s="838">
        <v>1395.3</v>
      </c>
      <c r="E144" s="838">
        <v>1638.7</v>
      </c>
      <c r="F144" s="838">
        <v>1029.0999999999999</v>
      </c>
      <c r="G144" s="838" t="s">
        <v>287</v>
      </c>
      <c r="H144" s="793"/>
    </row>
    <row r="145" spans="2:8" s="12" customFormat="1" ht="17.25" customHeight="1">
      <c r="B145" s="796"/>
      <c r="C145" s="810" t="s">
        <v>488</v>
      </c>
      <c r="D145" s="838">
        <v>1452</v>
      </c>
      <c r="E145" s="838">
        <v>1492.7</v>
      </c>
      <c r="F145" s="838">
        <v>2180.6999999999998</v>
      </c>
      <c r="G145" s="838" t="s">
        <v>287</v>
      </c>
      <c r="H145" s="793"/>
    </row>
    <row r="146" spans="2:8" s="12" customFormat="1" ht="17.25" customHeight="1">
      <c r="B146" s="796"/>
      <c r="C146" s="813" t="s">
        <v>489</v>
      </c>
      <c r="D146" s="841">
        <v>1388.7</v>
      </c>
      <c r="E146" s="841">
        <v>1659.7</v>
      </c>
      <c r="F146" s="841">
        <v>2138</v>
      </c>
      <c r="G146" s="841" t="s">
        <v>287</v>
      </c>
      <c r="H146" s="793"/>
    </row>
    <row r="147" spans="2:8" s="12" customFormat="1" ht="17.25" customHeight="1">
      <c r="B147" s="797" t="s">
        <v>166</v>
      </c>
      <c r="C147" s="812" t="s">
        <v>486</v>
      </c>
      <c r="D147" s="837">
        <v>11.4</v>
      </c>
      <c r="E147" s="837">
        <v>17.5</v>
      </c>
      <c r="F147" s="837">
        <v>24.2</v>
      </c>
      <c r="G147" s="839" t="s">
        <v>287</v>
      </c>
      <c r="H147" s="793"/>
    </row>
    <row r="148" spans="2:8" s="12" customFormat="1" ht="17.25" customHeight="1">
      <c r="B148" s="795" t="s">
        <v>507</v>
      </c>
      <c r="C148" s="810" t="s">
        <v>487</v>
      </c>
      <c r="D148" s="838">
        <v>13.8</v>
      </c>
      <c r="E148" s="838">
        <v>19.7</v>
      </c>
      <c r="F148" s="838">
        <v>21</v>
      </c>
      <c r="G148" s="838" t="s">
        <v>287</v>
      </c>
      <c r="H148" s="793"/>
    </row>
    <row r="149" spans="2:8" s="12" customFormat="1" ht="17.25" customHeight="1">
      <c r="B149" s="796"/>
      <c r="C149" s="810" t="s">
        <v>488</v>
      </c>
      <c r="D149" s="838">
        <v>14.2</v>
      </c>
      <c r="E149" s="838">
        <v>17.3</v>
      </c>
      <c r="F149" s="838">
        <v>22.2</v>
      </c>
      <c r="G149" s="838" t="s">
        <v>287</v>
      </c>
      <c r="H149" s="793"/>
    </row>
    <row r="150" spans="2:8" s="12" customFormat="1" ht="17.25" customHeight="1">
      <c r="B150" s="796"/>
      <c r="C150" s="813" t="s">
        <v>489</v>
      </c>
      <c r="D150" s="841">
        <v>13</v>
      </c>
      <c r="E150" s="841">
        <v>20.5</v>
      </c>
      <c r="F150" s="841">
        <v>18.5</v>
      </c>
      <c r="G150" s="841" t="s">
        <v>287</v>
      </c>
      <c r="H150" s="793"/>
    </row>
    <row r="151" spans="2:8" s="12" customFormat="1" ht="17.25" customHeight="1">
      <c r="B151" s="797" t="s">
        <v>504</v>
      </c>
      <c r="C151" s="812" t="s">
        <v>486</v>
      </c>
      <c r="D151" s="837">
        <v>698.7</v>
      </c>
      <c r="E151" s="837">
        <v>1459.7</v>
      </c>
      <c r="F151" s="837">
        <v>2744</v>
      </c>
      <c r="G151" s="837" t="s">
        <v>287</v>
      </c>
      <c r="H151" s="793"/>
    </row>
    <row r="152" spans="2:8" s="12" customFormat="1" ht="17.25" customHeight="1">
      <c r="B152" s="795" t="s">
        <v>507</v>
      </c>
      <c r="C152" s="810" t="s">
        <v>487</v>
      </c>
      <c r="D152" s="838">
        <v>814</v>
      </c>
      <c r="E152" s="838">
        <v>1315.3</v>
      </c>
      <c r="F152" s="838">
        <v>1928.7</v>
      </c>
      <c r="G152" s="838" t="s">
        <v>287</v>
      </c>
      <c r="H152" s="793"/>
    </row>
    <row r="153" spans="2:8" s="12" customFormat="1" ht="17.25" customHeight="1">
      <c r="B153" s="796"/>
      <c r="C153" s="810" t="s">
        <v>488</v>
      </c>
      <c r="D153" s="838">
        <v>856</v>
      </c>
      <c r="E153" s="838">
        <v>1458.7</v>
      </c>
      <c r="F153" s="838">
        <v>2315.3000000000002</v>
      </c>
      <c r="G153" s="838" t="s">
        <v>287</v>
      </c>
      <c r="H153" s="793"/>
    </row>
    <row r="154" spans="2:8" s="12" customFormat="1" ht="17.25" customHeight="1" thickBot="1">
      <c r="B154" s="798"/>
      <c r="C154" s="816" t="s">
        <v>489</v>
      </c>
      <c r="D154" s="842">
        <v>784</v>
      </c>
      <c r="E154" s="842">
        <v>1317.3</v>
      </c>
      <c r="F154" s="842">
        <v>2383.6999999999998</v>
      </c>
      <c r="G154" s="842" t="s">
        <v>287</v>
      </c>
      <c r="H154" s="793"/>
    </row>
    <row r="155" spans="2:8" s="12" customFormat="1" ht="24" customHeight="1" thickTop="1">
      <c r="B155" s="1260" t="s">
        <v>248</v>
      </c>
      <c r="C155" s="1260"/>
      <c r="D155" s="840"/>
      <c r="E155" s="840"/>
      <c r="F155" s="800"/>
      <c r="G155" s="772"/>
      <c r="H155" s="784"/>
    </row>
    <row r="156" spans="2:8" s="12" customFormat="1" ht="19.5" customHeight="1">
      <c r="B156" s="1135" t="s">
        <v>490</v>
      </c>
      <c r="C156" s="1135"/>
      <c r="D156" s="1135"/>
      <c r="E156" s="1135"/>
      <c r="F156" s="801"/>
      <c r="G156" s="835"/>
      <c r="H156" s="784"/>
    </row>
    <row r="157" spans="2:8" s="12" customFormat="1" ht="16.5" customHeight="1">
      <c r="B157" s="801"/>
      <c r="C157" s="801"/>
      <c r="D157" s="801"/>
      <c r="E157" s="801"/>
      <c r="F157" s="801"/>
      <c r="G157" s="772"/>
      <c r="H157" s="784"/>
    </row>
    <row r="158" spans="2:8" s="12" customFormat="1">
      <c r="B158" s="801"/>
      <c r="C158" s="801"/>
      <c r="D158" s="801"/>
      <c r="E158" s="801"/>
      <c r="F158" s="801"/>
      <c r="G158" s="772"/>
      <c r="H158" s="784"/>
    </row>
    <row r="159" spans="2:8" s="12" customFormat="1">
      <c r="B159" s="801"/>
      <c r="C159" s="801"/>
      <c r="D159" s="801"/>
      <c r="E159" s="801"/>
      <c r="F159" s="801"/>
      <c r="G159" s="772"/>
      <c r="H159" s="784"/>
    </row>
    <row r="160" spans="2:8" s="12" customFormat="1">
      <c r="B160" s="801"/>
      <c r="C160" s="801"/>
      <c r="D160" s="801"/>
      <c r="E160" s="801"/>
      <c r="F160" s="801"/>
      <c r="G160" s="772"/>
      <c r="H160" s="784"/>
    </row>
    <row r="161" spans="2:8" s="12" customFormat="1">
      <c r="B161" s="801"/>
      <c r="C161" s="801"/>
      <c r="D161" s="801"/>
      <c r="E161" s="801"/>
      <c r="F161" s="801"/>
      <c r="G161" s="772"/>
      <c r="H161" s="784"/>
    </row>
    <row r="162" spans="2:8" s="12" customFormat="1">
      <c r="B162" s="801"/>
      <c r="C162" s="801"/>
      <c r="D162" s="801"/>
      <c r="E162" s="801"/>
      <c r="F162" s="801"/>
      <c r="G162" s="772"/>
      <c r="H162" s="784"/>
    </row>
    <row r="163" spans="2:8" s="12" customFormat="1">
      <c r="B163" s="801"/>
      <c r="C163" s="801"/>
      <c r="D163" s="801"/>
      <c r="E163" s="801"/>
      <c r="F163" s="801"/>
      <c r="G163" s="772"/>
      <c r="H163" s="784"/>
    </row>
    <row r="164" spans="2:8" s="12" customFormat="1">
      <c r="B164" s="801"/>
      <c r="C164" s="801"/>
      <c r="D164" s="801"/>
      <c r="E164" s="801"/>
      <c r="F164" s="801"/>
      <c r="G164" s="772"/>
      <c r="H164" s="784"/>
    </row>
    <row r="165" spans="2:8" s="12" customFormat="1">
      <c r="B165" s="801"/>
      <c r="C165" s="801"/>
      <c r="D165" s="801"/>
      <c r="E165" s="801"/>
      <c r="F165" s="801"/>
      <c r="G165" s="772"/>
      <c r="H165" s="784"/>
    </row>
    <row r="166" spans="2:8" s="12" customFormat="1">
      <c r="B166" s="801"/>
      <c r="C166" s="801"/>
      <c r="D166" s="801"/>
      <c r="E166" s="801"/>
      <c r="F166" s="801"/>
      <c r="G166" s="772"/>
      <c r="H166" s="784"/>
    </row>
    <row r="167" spans="2:8" s="12" customFormat="1">
      <c r="B167" s="801"/>
      <c r="C167" s="801"/>
      <c r="D167" s="801"/>
      <c r="E167" s="801"/>
      <c r="F167" s="801"/>
      <c r="G167" s="772"/>
      <c r="H167" s="784"/>
    </row>
    <row r="168" spans="2:8" s="12" customFormat="1" ht="24" customHeight="1">
      <c r="B168" s="802"/>
      <c r="C168" s="802"/>
      <c r="D168" s="802"/>
      <c r="E168" s="802"/>
      <c r="F168" s="802"/>
      <c r="G168" s="772"/>
      <c r="H168" s="784"/>
    </row>
    <row r="169" spans="2:8" s="12" customFormat="1" ht="24" customHeight="1">
      <c r="B169" s="792" t="s">
        <v>204</v>
      </c>
      <c r="C169" s="793"/>
      <c r="D169" s="792"/>
      <c r="E169" s="792"/>
      <c r="F169" s="792"/>
      <c r="G169" s="836">
        <v>70</v>
      </c>
      <c r="H169" s="784"/>
    </row>
    <row r="170" spans="2:8" s="12" customFormat="1" ht="28.5" customHeight="1">
      <c r="B170" s="1279" t="s">
        <v>554</v>
      </c>
      <c r="C170" s="1279"/>
      <c r="D170" s="1279"/>
      <c r="E170" s="1279"/>
      <c r="F170" s="1279"/>
      <c r="G170" s="1279"/>
    </row>
    <row r="171" spans="2:8" s="12" customFormat="1" ht="23.25" customHeight="1" thickBot="1">
      <c r="B171" s="1278" t="s">
        <v>560</v>
      </c>
      <c r="C171" s="1278"/>
      <c r="D171" s="775"/>
      <c r="E171" s="775"/>
      <c r="F171" s="775"/>
      <c r="G171" s="775"/>
    </row>
    <row r="172" spans="2:8" s="141" customFormat="1" ht="30" customHeight="1" thickTop="1">
      <c r="B172" s="844" t="s">
        <v>178</v>
      </c>
      <c r="C172" s="844" t="s">
        <v>0</v>
      </c>
      <c r="D172" s="844" t="s">
        <v>471</v>
      </c>
      <c r="E172" s="844" t="s">
        <v>472</v>
      </c>
      <c r="F172" s="844" t="s">
        <v>473</v>
      </c>
      <c r="G172" s="844" t="s">
        <v>474</v>
      </c>
    </row>
    <row r="173" spans="2:8" s="12" customFormat="1" ht="17.25" customHeight="1">
      <c r="B173" s="795" t="s">
        <v>482</v>
      </c>
      <c r="C173" s="858" t="s">
        <v>491</v>
      </c>
      <c r="D173" s="847">
        <v>8.1999999999999993</v>
      </c>
      <c r="E173" s="847">
        <v>8.3659999999999997</v>
      </c>
      <c r="F173" s="847">
        <v>8.3000000000000007</v>
      </c>
      <c r="G173" s="850" t="s">
        <v>287</v>
      </c>
    </row>
    <row r="174" spans="2:8" s="12" customFormat="1" ht="17.25" customHeight="1">
      <c r="B174" s="795"/>
      <c r="C174" s="859" t="s">
        <v>492</v>
      </c>
      <c r="D174" s="848">
        <v>8.1999999999999993</v>
      </c>
      <c r="E174" s="848">
        <v>8.3659999999999997</v>
      </c>
      <c r="F174" s="848">
        <v>8.25</v>
      </c>
      <c r="G174" s="851" t="s">
        <v>287</v>
      </c>
    </row>
    <row r="175" spans="2:8" s="12" customFormat="1" ht="17.25" customHeight="1">
      <c r="B175" s="796"/>
      <c r="C175" s="859" t="s">
        <v>493</v>
      </c>
      <c r="D175" s="848">
        <v>8.1999999999999993</v>
      </c>
      <c r="E175" s="848">
        <v>8.3330000000000002</v>
      </c>
      <c r="F175" s="848">
        <v>8</v>
      </c>
      <c r="G175" s="851" t="s">
        <v>287</v>
      </c>
    </row>
    <row r="176" spans="2:8" s="12" customFormat="1" ht="17.25" customHeight="1">
      <c r="B176" s="796"/>
      <c r="C176" s="861" t="s">
        <v>494</v>
      </c>
      <c r="D176" s="855">
        <v>8</v>
      </c>
      <c r="E176" s="855">
        <v>8.1</v>
      </c>
      <c r="F176" s="855">
        <v>8.1999999999999993</v>
      </c>
      <c r="G176" s="856" t="s">
        <v>287</v>
      </c>
    </row>
    <row r="177" spans="2:7" s="12" customFormat="1" ht="17.25" customHeight="1">
      <c r="B177" s="797" t="s">
        <v>475</v>
      </c>
      <c r="C177" s="858" t="s">
        <v>491</v>
      </c>
      <c r="D177" s="847">
        <v>1226.6659999999999</v>
      </c>
      <c r="E177" s="847">
        <v>1120</v>
      </c>
      <c r="F177" s="847">
        <v>1080</v>
      </c>
      <c r="G177" s="850" t="s">
        <v>287</v>
      </c>
    </row>
    <row r="178" spans="2:7" s="12" customFormat="1" ht="17.25" customHeight="1">
      <c r="B178" s="795" t="s">
        <v>507</v>
      </c>
      <c r="C178" s="859" t="s">
        <v>492</v>
      </c>
      <c r="D178" s="848">
        <v>1200</v>
      </c>
      <c r="E178" s="848">
        <v>1053.3330000000001</v>
      </c>
      <c r="F178" s="848">
        <v>1060</v>
      </c>
      <c r="G178" s="851" t="s">
        <v>287</v>
      </c>
    </row>
    <row r="179" spans="2:7" s="12" customFormat="1" ht="17.25" customHeight="1">
      <c r="B179" s="796"/>
      <c r="C179" s="859" t="s">
        <v>493</v>
      </c>
      <c r="D179" s="848">
        <v>1333.3330000000001</v>
      </c>
      <c r="E179" s="848">
        <v>1286.6659999999999</v>
      </c>
      <c r="F179" s="848">
        <v>1600</v>
      </c>
      <c r="G179" s="851" t="s">
        <v>287</v>
      </c>
    </row>
    <row r="180" spans="2:7" s="12" customFormat="1" ht="17.25" customHeight="1">
      <c r="B180" s="796"/>
      <c r="C180" s="860" t="s">
        <v>494</v>
      </c>
      <c r="D180" s="849">
        <v>4626.6660000000002</v>
      </c>
      <c r="E180" s="849">
        <v>3844</v>
      </c>
      <c r="F180" s="849">
        <v>4500</v>
      </c>
      <c r="G180" s="856" t="s">
        <v>287</v>
      </c>
    </row>
    <row r="181" spans="2:7" s="12" customFormat="1" ht="17.25" customHeight="1">
      <c r="B181" s="797" t="s">
        <v>158</v>
      </c>
      <c r="C181" s="858" t="s">
        <v>491</v>
      </c>
      <c r="D181" s="847">
        <v>277.33300000000003</v>
      </c>
      <c r="E181" s="847">
        <v>245.333</v>
      </c>
      <c r="F181" s="847">
        <v>200</v>
      </c>
      <c r="G181" s="850" t="s">
        <v>287</v>
      </c>
    </row>
    <row r="182" spans="2:7" s="12" customFormat="1" ht="17.25" customHeight="1">
      <c r="B182" s="795" t="s">
        <v>507</v>
      </c>
      <c r="C182" s="859" t="s">
        <v>492</v>
      </c>
      <c r="D182" s="848">
        <v>262</v>
      </c>
      <c r="E182" s="848">
        <v>237.333</v>
      </c>
      <c r="F182" s="848">
        <v>200</v>
      </c>
      <c r="G182" s="851" t="s">
        <v>287</v>
      </c>
    </row>
    <row r="183" spans="2:7" s="12" customFormat="1" ht="17.25" customHeight="1">
      <c r="B183" s="796"/>
      <c r="C183" s="859" t="s">
        <v>493</v>
      </c>
      <c r="D183" s="848">
        <v>282.666</v>
      </c>
      <c r="E183" s="848">
        <v>288</v>
      </c>
      <c r="F183" s="848">
        <v>384</v>
      </c>
      <c r="G183" s="851" t="s">
        <v>287</v>
      </c>
    </row>
    <row r="184" spans="2:7" s="12" customFormat="1" ht="17.25" customHeight="1">
      <c r="B184" s="796"/>
      <c r="C184" s="860" t="s">
        <v>494</v>
      </c>
      <c r="D184" s="849">
        <v>912</v>
      </c>
      <c r="E184" s="849">
        <v>741.33299999999997</v>
      </c>
      <c r="F184" s="849">
        <v>904</v>
      </c>
      <c r="G184" s="856" t="s">
        <v>287</v>
      </c>
    </row>
    <row r="185" spans="2:7" s="12" customFormat="1" ht="17.25" customHeight="1">
      <c r="B185" s="797" t="s">
        <v>160</v>
      </c>
      <c r="C185" s="858" t="s">
        <v>491</v>
      </c>
      <c r="D185" s="850">
        <v>133.30000000000001</v>
      </c>
      <c r="E185" s="850">
        <v>126.7</v>
      </c>
      <c r="F185" s="850">
        <v>145</v>
      </c>
      <c r="G185" s="850" t="s">
        <v>287</v>
      </c>
    </row>
    <row r="186" spans="2:7" s="12" customFormat="1" ht="17.25" customHeight="1">
      <c r="B186" s="795" t="s">
        <v>507</v>
      </c>
      <c r="C186" s="859" t="s">
        <v>492</v>
      </c>
      <c r="D186" s="851">
        <v>136.69999999999999</v>
      </c>
      <c r="E186" s="851">
        <v>115</v>
      </c>
      <c r="F186" s="851">
        <v>140</v>
      </c>
      <c r="G186" s="851" t="s">
        <v>287</v>
      </c>
    </row>
    <row r="187" spans="2:7" s="12" customFormat="1" ht="17.25" customHeight="1">
      <c r="B187" s="796"/>
      <c r="C187" s="859" t="s">
        <v>493</v>
      </c>
      <c r="D187" s="851">
        <v>156.69999999999999</v>
      </c>
      <c r="E187" s="851">
        <v>141.69999999999999</v>
      </c>
      <c r="F187" s="851">
        <v>160</v>
      </c>
      <c r="G187" s="851" t="s">
        <v>287</v>
      </c>
    </row>
    <row r="188" spans="2:7" s="12" customFormat="1" ht="17.25" customHeight="1">
      <c r="B188" s="796"/>
      <c r="C188" s="860" t="s">
        <v>494</v>
      </c>
      <c r="D188" s="852">
        <v>586.70000000000005</v>
      </c>
      <c r="E188" s="852">
        <v>497.7</v>
      </c>
      <c r="F188" s="852">
        <v>560</v>
      </c>
      <c r="G188" s="856" t="s">
        <v>287</v>
      </c>
    </row>
    <row r="189" spans="2:7" s="12" customFormat="1" ht="17.25" customHeight="1">
      <c r="B189" s="797" t="s">
        <v>480</v>
      </c>
      <c r="C189" s="858" t="s">
        <v>491</v>
      </c>
      <c r="D189" s="847">
        <v>3843.3</v>
      </c>
      <c r="E189" s="847">
        <v>3966.3</v>
      </c>
      <c r="F189" s="847">
        <v>3625</v>
      </c>
      <c r="G189" s="850" t="s">
        <v>287</v>
      </c>
    </row>
    <row r="190" spans="2:7" s="12" customFormat="1" ht="17.25" customHeight="1">
      <c r="B190" s="795" t="s">
        <v>507</v>
      </c>
      <c r="C190" s="859" t="s">
        <v>492</v>
      </c>
      <c r="D190" s="848">
        <v>3790</v>
      </c>
      <c r="E190" s="848">
        <v>4003.3</v>
      </c>
      <c r="F190" s="848">
        <v>3562.5</v>
      </c>
      <c r="G190" s="851" t="s">
        <v>287</v>
      </c>
    </row>
    <row r="191" spans="2:7" s="12" customFormat="1" ht="17.25" customHeight="1">
      <c r="B191" s="796"/>
      <c r="C191" s="859" t="s">
        <v>493</v>
      </c>
      <c r="D191" s="848">
        <v>4353</v>
      </c>
      <c r="E191" s="848">
        <v>4206.7</v>
      </c>
      <c r="F191" s="848">
        <v>6110</v>
      </c>
      <c r="G191" s="851" t="s">
        <v>287</v>
      </c>
    </row>
    <row r="192" spans="2:7" s="12" customFormat="1" ht="17.25" customHeight="1">
      <c r="B192" s="799"/>
      <c r="C192" s="861" t="s">
        <v>494</v>
      </c>
      <c r="D192" s="855">
        <v>12480</v>
      </c>
      <c r="E192" s="855">
        <v>9739.2999999999993</v>
      </c>
      <c r="F192" s="855">
        <v>13235</v>
      </c>
      <c r="G192" s="856" t="s">
        <v>287</v>
      </c>
    </row>
    <row r="193" spans="2:7" s="12" customFormat="1" ht="18.75" customHeight="1">
      <c r="B193" s="795" t="s">
        <v>506</v>
      </c>
      <c r="C193" s="858" t="s">
        <v>491</v>
      </c>
      <c r="D193" s="850">
        <v>1.4</v>
      </c>
      <c r="E193" s="850">
        <v>1.8</v>
      </c>
      <c r="F193" s="850">
        <v>1.4</v>
      </c>
      <c r="G193" s="850" t="s">
        <v>287</v>
      </c>
    </row>
    <row r="194" spans="2:7" s="12" customFormat="1" ht="18.75" customHeight="1">
      <c r="B194" s="795" t="s">
        <v>507</v>
      </c>
      <c r="C194" s="859" t="s">
        <v>492</v>
      </c>
      <c r="D194" s="851">
        <v>1.5</v>
      </c>
      <c r="E194" s="851">
        <v>1.6</v>
      </c>
      <c r="F194" s="851">
        <v>1.1000000000000001</v>
      </c>
      <c r="G194" s="851" t="s">
        <v>287</v>
      </c>
    </row>
    <row r="195" spans="2:7" s="12" customFormat="1" ht="18.75" customHeight="1">
      <c r="B195" s="796"/>
      <c r="C195" s="859" t="s">
        <v>493</v>
      </c>
      <c r="D195" s="851">
        <v>1.4</v>
      </c>
      <c r="E195" s="851">
        <v>2</v>
      </c>
      <c r="F195" s="851">
        <v>1.9</v>
      </c>
      <c r="G195" s="851" t="s">
        <v>287</v>
      </c>
    </row>
    <row r="196" spans="2:7" s="12" customFormat="1" ht="18.75" customHeight="1">
      <c r="B196" s="799"/>
      <c r="C196" s="861" t="s">
        <v>494</v>
      </c>
      <c r="D196" s="856">
        <v>1.2</v>
      </c>
      <c r="E196" s="856">
        <v>1.2</v>
      </c>
      <c r="F196" s="856">
        <v>2.5</v>
      </c>
      <c r="G196" s="856" t="s">
        <v>287</v>
      </c>
    </row>
    <row r="197" spans="2:7" s="12" customFormat="1" ht="17.25" customHeight="1">
      <c r="B197" s="797" t="s">
        <v>505</v>
      </c>
      <c r="C197" s="858" t="s">
        <v>491</v>
      </c>
      <c r="D197" s="1012">
        <v>0.05</v>
      </c>
      <c r="E197" s="1012">
        <v>0.04</v>
      </c>
      <c r="F197" s="1012">
        <v>7.0000000000000007E-2</v>
      </c>
      <c r="G197" s="850" t="s">
        <v>287</v>
      </c>
    </row>
    <row r="198" spans="2:7" s="12" customFormat="1" ht="17.25" customHeight="1">
      <c r="B198" s="795" t="s">
        <v>507</v>
      </c>
      <c r="C198" s="859" t="s">
        <v>492</v>
      </c>
      <c r="D198" s="1013">
        <v>0.08</v>
      </c>
      <c r="E198" s="1013">
        <v>0.05</v>
      </c>
      <c r="F198" s="1013">
        <v>0.06</v>
      </c>
      <c r="G198" s="851" t="s">
        <v>287</v>
      </c>
    </row>
    <row r="199" spans="2:7" s="12" customFormat="1" ht="17.25" customHeight="1">
      <c r="B199" s="796"/>
      <c r="C199" s="859" t="s">
        <v>493</v>
      </c>
      <c r="D199" s="1013">
        <v>7.5999999999999998E-2</v>
      </c>
      <c r="E199" s="1013">
        <v>0.05</v>
      </c>
      <c r="F199" s="1013">
        <v>0.09</v>
      </c>
      <c r="G199" s="851" t="s">
        <v>287</v>
      </c>
    </row>
    <row r="200" spans="2:7" s="12" customFormat="1" ht="17.25" customHeight="1">
      <c r="B200" s="799"/>
      <c r="C200" s="861" t="s">
        <v>494</v>
      </c>
      <c r="D200" s="1062">
        <v>4.5999999999999999E-2</v>
      </c>
      <c r="E200" s="1062">
        <v>7.0000000000000007E-2</v>
      </c>
      <c r="F200" s="1062">
        <v>0.16</v>
      </c>
      <c r="G200" s="856" t="s">
        <v>287</v>
      </c>
    </row>
    <row r="201" spans="2:7" s="12" customFormat="1" ht="17.25" customHeight="1">
      <c r="B201" s="795" t="s">
        <v>156</v>
      </c>
      <c r="C201" s="863" t="s">
        <v>491</v>
      </c>
      <c r="D201" s="854">
        <v>1266.3</v>
      </c>
      <c r="E201" s="854">
        <v>1320</v>
      </c>
      <c r="F201" s="854">
        <v>1165</v>
      </c>
      <c r="G201" s="853" t="s">
        <v>287</v>
      </c>
    </row>
    <row r="202" spans="2:7" s="12" customFormat="1" ht="17.25" customHeight="1">
      <c r="B202" s="795" t="s">
        <v>507</v>
      </c>
      <c r="C202" s="859" t="s">
        <v>492</v>
      </c>
      <c r="D202" s="849">
        <v>1240.3</v>
      </c>
      <c r="E202" s="849">
        <v>1280</v>
      </c>
      <c r="F202" s="849">
        <v>1155</v>
      </c>
      <c r="G202" s="851" t="s">
        <v>287</v>
      </c>
    </row>
    <row r="203" spans="2:7" s="12" customFormat="1" ht="17.25" customHeight="1">
      <c r="B203" s="796"/>
      <c r="C203" s="859" t="s">
        <v>493</v>
      </c>
      <c r="D203" s="849">
        <v>1490</v>
      </c>
      <c r="E203" s="849">
        <v>1633.3</v>
      </c>
      <c r="F203" s="849">
        <v>1936</v>
      </c>
      <c r="G203" s="851" t="s">
        <v>287</v>
      </c>
    </row>
    <row r="204" spans="2:7" s="12" customFormat="1" ht="17.25" customHeight="1" thickBot="1">
      <c r="B204" s="798"/>
      <c r="C204" s="862" t="s">
        <v>494</v>
      </c>
      <c r="D204" s="857">
        <v>4190</v>
      </c>
      <c r="E204" s="857">
        <v>4490</v>
      </c>
      <c r="F204" s="857">
        <v>4392.5</v>
      </c>
      <c r="G204" s="1014" t="s">
        <v>287</v>
      </c>
    </row>
    <row r="205" spans="2:7" s="627" customFormat="1" ht="20.25" customHeight="1" thickTop="1">
      <c r="B205" s="1271" t="s">
        <v>248</v>
      </c>
      <c r="C205" s="1271"/>
      <c r="D205" s="1054"/>
      <c r="E205" s="1054"/>
      <c r="F205" s="1054"/>
      <c r="G205" s="1065" t="s">
        <v>74</v>
      </c>
    </row>
    <row r="206" spans="2:7" s="12" customFormat="1" ht="15.75" customHeight="1">
      <c r="B206" s="1135" t="s">
        <v>490</v>
      </c>
      <c r="C206" s="1135"/>
      <c r="D206" s="1135"/>
      <c r="E206" s="1135"/>
      <c r="F206" s="781"/>
    </row>
    <row r="207" spans="2:7" s="12" customFormat="1" ht="15.75" customHeight="1">
      <c r="B207" s="1052"/>
      <c r="C207" s="1052"/>
      <c r="D207" s="1052"/>
      <c r="E207" s="1052"/>
      <c r="F207" s="781"/>
    </row>
    <row r="208" spans="2:7" s="12" customFormat="1" ht="27.75" customHeight="1">
      <c r="B208" s="772"/>
      <c r="C208" s="772"/>
      <c r="D208" s="772"/>
      <c r="E208" s="772"/>
      <c r="F208" s="781"/>
      <c r="G208" s="781"/>
    </row>
    <row r="209" spans="2:7" s="12" customFormat="1" ht="23.25" customHeight="1">
      <c r="B209" s="1280" t="s">
        <v>204</v>
      </c>
      <c r="C209" s="1280"/>
      <c r="D209" s="1280"/>
      <c r="E209" s="1280"/>
      <c r="F209" s="1280"/>
      <c r="G209" s="865">
        <v>71</v>
      </c>
    </row>
    <row r="210" spans="2:7" s="12" customFormat="1" ht="24" customHeight="1">
      <c r="B210" s="1279" t="s">
        <v>554</v>
      </c>
      <c r="C210" s="1279"/>
      <c r="D210" s="1279"/>
      <c r="E210" s="1279"/>
      <c r="F210" s="1279"/>
      <c r="G210" s="1279"/>
    </row>
    <row r="211" spans="2:7" s="12" customFormat="1" ht="24" customHeight="1" thickBot="1">
      <c r="B211" s="1278" t="s">
        <v>561</v>
      </c>
      <c r="C211" s="1278"/>
      <c r="D211" s="775"/>
      <c r="E211" s="775"/>
      <c r="F211" s="775"/>
      <c r="G211" s="775"/>
    </row>
    <row r="212" spans="2:7" s="141" customFormat="1" ht="30.75" customHeight="1" thickTop="1">
      <c r="B212" s="844" t="s">
        <v>178</v>
      </c>
      <c r="C212" s="844" t="s">
        <v>0</v>
      </c>
      <c r="D212" s="844" t="s">
        <v>471</v>
      </c>
      <c r="E212" s="844" t="s">
        <v>472</v>
      </c>
      <c r="F212" s="844" t="s">
        <v>473</v>
      </c>
      <c r="G212" s="844" t="s">
        <v>474</v>
      </c>
    </row>
    <row r="213" spans="2:7" s="12" customFormat="1" ht="18.75" customHeight="1">
      <c r="B213" s="804" t="s">
        <v>485</v>
      </c>
      <c r="C213" s="858" t="s">
        <v>491</v>
      </c>
      <c r="D213" s="847">
        <v>6733.3</v>
      </c>
      <c r="E213" s="847">
        <v>7056.7</v>
      </c>
      <c r="F213" s="847">
        <v>6375</v>
      </c>
      <c r="G213" s="850" t="s">
        <v>287</v>
      </c>
    </row>
    <row r="214" spans="2:7" s="12" customFormat="1" ht="18.75" customHeight="1">
      <c r="B214" s="795" t="s">
        <v>507</v>
      </c>
      <c r="C214" s="859" t="s">
        <v>492</v>
      </c>
      <c r="D214" s="848">
        <v>6696.7</v>
      </c>
      <c r="E214" s="848">
        <v>7106.7</v>
      </c>
      <c r="F214" s="848">
        <v>6210</v>
      </c>
      <c r="G214" s="851" t="s">
        <v>287</v>
      </c>
    </row>
    <row r="215" spans="2:7" s="12" customFormat="1" ht="18.75" customHeight="1">
      <c r="B215" s="796"/>
      <c r="C215" s="859" t="s">
        <v>493</v>
      </c>
      <c r="D215" s="848">
        <v>7720</v>
      </c>
      <c r="E215" s="848">
        <v>8570</v>
      </c>
      <c r="F215" s="848">
        <v>10630</v>
      </c>
      <c r="G215" s="851" t="s">
        <v>287</v>
      </c>
    </row>
    <row r="216" spans="2:7" s="12" customFormat="1" ht="18.75" customHeight="1">
      <c r="B216" s="799"/>
      <c r="C216" s="861" t="s">
        <v>494</v>
      </c>
      <c r="D216" s="855">
        <v>21286.7</v>
      </c>
      <c r="E216" s="855">
        <v>21420</v>
      </c>
      <c r="F216" s="855">
        <v>23000</v>
      </c>
      <c r="G216" s="856" t="s">
        <v>287</v>
      </c>
    </row>
    <row r="217" spans="2:7" s="12" customFormat="1" ht="18.75" customHeight="1">
      <c r="B217" s="795" t="s">
        <v>483</v>
      </c>
      <c r="C217" s="863" t="s">
        <v>491</v>
      </c>
      <c r="D217" s="853">
        <v>11</v>
      </c>
      <c r="E217" s="853">
        <v>27</v>
      </c>
      <c r="F217" s="853">
        <v>28</v>
      </c>
      <c r="G217" s="853" t="s">
        <v>287</v>
      </c>
    </row>
    <row r="218" spans="2:7" s="12" customFormat="1" ht="18.75" customHeight="1">
      <c r="B218" s="795" t="s">
        <v>507</v>
      </c>
      <c r="C218" s="859" t="s">
        <v>492</v>
      </c>
      <c r="D218" s="851">
        <v>20.7</v>
      </c>
      <c r="E218" s="851">
        <v>50</v>
      </c>
      <c r="F218" s="851">
        <v>26.5</v>
      </c>
      <c r="G218" s="851" t="s">
        <v>287</v>
      </c>
    </row>
    <row r="219" spans="2:7" s="12" customFormat="1" ht="18.75" customHeight="1">
      <c r="B219" s="796"/>
      <c r="C219" s="859" t="s">
        <v>493</v>
      </c>
      <c r="D219" s="851">
        <v>17.7</v>
      </c>
      <c r="E219" s="851">
        <v>32</v>
      </c>
      <c r="F219" s="851">
        <v>63</v>
      </c>
      <c r="G219" s="851" t="s">
        <v>287</v>
      </c>
    </row>
    <row r="220" spans="2:7" s="12" customFormat="1" ht="18.75" customHeight="1">
      <c r="B220" s="799"/>
      <c r="C220" s="861" t="s">
        <v>494</v>
      </c>
      <c r="D220" s="856">
        <v>17.7</v>
      </c>
      <c r="E220" s="856">
        <v>12.7</v>
      </c>
      <c r="F220" s="856">
        <v>58.5</v>
      </c>
      <c r="G220" s="856" t="s">
        <v>287</v>
      </c>
    </row>
    <row r="221" spans="2:7" s="12" customFormat="1" ht="18.75" customHeight="1">
      <c r="B221" s="797" t="s">
        <v>484</v>
      </c>
      <c r="C221" s="858" t="s">
        <v>491</v>
      </c>
      <c r="D221" s="850">
        <v>213.3</v>
      </c>
      <c r="E221" s="850">
        <v>206.7</v>
      </c>
      <c r="F221" s="850">
        <v>190</v>
      </c>
      <c r="G221" s="850" t="s">
        <v>287</v>
      </c>
    </row>
    <row r="222" spans="2:7" s="12" customFormat="1" ht="18.75" customHeight="1">
      <c r="B222" s="795" t="s">
        <v>507</v>
      </c>
      <c r="C222" s="859" t="s">
        <v>492</v>
      </c>
      <c r="D222" s="851">
        <v>193.3</v>
      </c>
      <c r="E222" s="851">
        <v>206.7</v>
      </c>
      <c r="F222" s="851">
        <v>210</v>
      </c>
      <c r="G222" s="851" t="s">
        <v>287</v>
      </c>
    </row>
    <row r="223" spans="2:7" s="12" customFormat="1" ht="18.75" customHeight="1">
      <c r="B223" s="796"/>
      <c r="C223" s="859" t="s">
        <v>493</v>
      </c>
      <c r="D223" s="851">
        <v>180</v>
      </c>
      <c r="E223" s="851">
        <v>226.7</v>
      </c>
      <c r="F223" s="851">
        <v>160</v>
      </c>
      <c r="G223" s="851" t="s">
        <v>287</v>
      </c>
    </row>
    <row r="224" spans="2:7" s="12" customFormat="1" ht="18.75" customHeight="1">
      <c r="B224" s="799"/>
      <c r="C224" s="861" t="s">
        <v>494</v>
      </c>
      <c r="D224" s="856">
        <v>220</v>
      </c>
      <c r="E224" s="856">
        <v>242.7</v>
      </c>
      <c r="F224" s="856">
        <v>220</v>
      </c>
      <c r="G224" s="856" t="s">
        <v>287</v>
      </c>
    </row>
    <row r="225" spans="2:7" s="12" customFormat="1" ht="17.25" customHeight="1">
      <c r="B225" s="797" t="s">
        <v>481</v>
      </c>
      <c r="C225" s="858" t="s">
        <v>491</v>
      </c>
      <c r="D225" s="803">
        <v>9.9</v>
      </c>
      <c r="E225" s="803">
        <v>6.9</v>
      </c>
      <c r="F225" s="803">
        <v>6.35</v>
      </c>
      <c r="G225" s="850" t="s">
        <v>287</v>
      </c>
    </row>
    <row r="226" spans="2:7" s="12" customFormat="1" ht="17.25" customHeight="1">
      <c r="B226" s="795" t="s">
        <v>507</v>
      </c>
      <c r="C226" s="859" t="s">
        <v>492</v>
      </c>
      <c r="D226" s="807">
        <v>9.5</v>
      </c>
      <c r="E226" s="807">
        <v>6.7</v>
      </c>
      <c r="F226" s="807">
        <v>6</v>
      </c>
      <c r="G226" s="851" t="s">
        <v>287</v>
      </c>
    </row>
    <row r="227" spans="2:7" s="12" customFormat="1" ht="17.25" customHeight="1">
      <c r="B227" s="796"/>
      <c r="C227" s="859" t="s">
        <v>493</v>
      </c>
      <c r="D227" s="807">
        <v>10.199999999999999</v>
      </c>
      <c r="E227" s="807">
        <v>6.5</v>
      </c>
      <c r="F227" s="807">
        <v>5.8</v>
      </c>
      <c r="G227" s="851" t="s">
        <v>287</v>
      </c>
    </row>
    <row r="228" spans="2:7" s="12" customFormat="1" ht="17.25" customHeight="1">
      <c r="B228" s="799"/>
      <c r="C228" s="861" t="s">
        <v>494</v>
      </c>
      <c r="D228" s="808">
        <v>8.6999999999999993</v>
      </c>
      <c r="E228" s="808">
        <v>7.1</v>
      </c>
      <c r="F228" s="808">
        <v>6</v>
      </c>
      <c r="G228" s="856" t="s">
        <v>287</v>
      </c>
    </row>
    <row r="229" spans="2:7" s="12" customFormat="1" ht="18.75" customHeight="1">
      <c r="B229" s="797" t="s">
        <v>164</v>
      </c>
      <c r="C229" s="858" t="s">
        <v>491</v>
      </c>
      <c r="D229" s="847">
        <v>973.3</v>
      </c>
      <c r="E229" s="847">
        <v>981</v>
      </c>
      <c r="F229" s="847">
        <v>505.7</v>
      </c>
      <c r="G229" s="850" t="s">
        <v>287</v>
      </c>
    </row>
    <row r="230" spans="2:7" s="12" customFormat="1" ht="18.75" customHeight="1">
      <c r="B230" s="795" t="s">
        <v>507</v>
      </c>
      <c r="C230" s="859" t="s">
        <v>492</v>
      </c>
      <c r="D230" s="848">
        <v>955.7</v>
      </c>
      <c r="E230" s="848">
        <v>977.3</v>
      </c>
      <c r="F230" s="848">
        <v>480.7</v>
      </c>
      <c r="G230" s="851" t="s">
        <v>287</v>
      </c>
    </row>
    <row r="231" spans="2:7" s="12" customFormat="1" ht="18.75" customHeight="1">
      <c r="B231" s="796"/>
      <c r="C231" s="859" t="s">
        <v>493</v>
      </c>
      <c r="D231" s="848">
        <v>1180</v>
      </c>
      <c r="E231" s="848">
        <v>1183</v>
      </c>
      <c r="F231" s="848">
        <v>1130</v>
      </c>
      <c r="G231" s="851" t="s">
        <v>287</v>
      </c>
    </row>
    <row r="232" spans="2:7" s="12" customFormat="1" ht="18.75" customHeight="1">
      <c r="B232" s="799"/>
      <c r="C232" s="861" t="s">
        <v>494</v>
      </c>
      <c r="D232" s="855">
        <v>3213.3</v>
      </c>
      <c r="E232" s="855">
        <v>3135</v>
      </c>
      <c r="F232" s="855">
        <v>2657</v>
      </c>
      <c r="G232" s="856" t="s">
        <v>287</v>
      </c>
    </row>
    <row r="233" spans="2:7" s="12" customFormat="1" ht="18.75" customHeight="1">
      <c r="B233" s="797" t="s">
        <v>166</v>
      </c>
      <c r="C233" s="858" t="s">
        <v>491</v>
      </c>
      <c r="D233" s="850">
        <v>27</v>
      </c>
      <c r="E233" s="850">
        <v>26.2</v>
      </c>
      <c r="F233" s="850">
        <v>25.5</v>
      </c>
      <c r="G233" s="850" t="s">
        <v>287</v>
      </c>
    </row>
    <row r="234" spans="2:7" s="12" customFormat="1" ht="18.75" customHeight="1">
      <c r="B234" s="795" t="s">
        <v>507</v>
      </c>
      <c r="C234" s="859" t="s">
        <v>492</v>
      </c>
      <c r="D234" s="851">
        <v>25</v>
      </c>
      <c r="E234" s="851">
        <v>24.7</v>
      </c>
      <c r="F234" s="851">
        <v>25.5</v>
      </c>
      <c r="G234" s="851" t="s">
        <v>287</v>
      </c>
    </row>
    <row r="235" spans="2:7" s="12" customFormat="1" ht="18.75" customHeight="1">
      <c r="B235" s="796"/>
      <c r="C235" s="859" t="s">
        <v>493</v>
      </c>
      <c r="D235" s="851">
        <v>30.7</v>
      </c>
      <c r="E235" s="851">
        <v>33.700000000000003</v>
      </c>
      <c r="F235" s="851">
        <v>46</v>
      </c>
      <c r="G235" s="851" t="s">
        <v>287</v>
      </c>
    </row>
    <row r="236" spans="2:7" s="12" customFormat="1" ht="18.75" customHeight="1">
      <c r="B236" s="799"/>
      <c r="C236" s="861" t="s">
        <v>494</v>
      </c>
      <c r="D236" s="856">
        <v>47.3</v>
      </c>
      <c r="E236" s="856">
        <v>50.7</v>
      </c>
      <c r="F236" s="856">
        <v>75.5</v>
      </c>
      <c r="G236" s="856" t="s">
        <v>287</v>
      </c>
    </row>
    <row r="237" spans="2:7" s="12" customFormat="1" ht="17.25" customHeight="1">
      <c r="B237" s="797" t="s">
        <v>504</v>
      </c>
      <c r="C237" s="858" t="s">
        <v>491</v>
      </c>
      <c r="D237" s="847">
        <v>1043.3</v>
      </c>
      <c r="E237" s="847">
        <v>1115.3</v>
      </c>
      <c r="F237" s="847">
        <v>1029</v>
      </c>
      <c r="G237" s="850" t="s">
        <v>287</v>
      </c>
    </row>
    <row r="238" spans="2:7" s="12" customFormat="1" ht="17.25" customHeight="1">
      <c r="B238" s="795" t="s">
        <v>507</v>
      </c>
      <c r="C238" s="859" t="s">
        <v>492</v>
      </c>
      <c r="D238" s="854">
        <v>1030</v>
      </c>
      <c r="E238" s="854">
        <v>1213.3</v>
      </c>
      <c r="F238" s="854">
        <v>975</v>
      </c>
      <c r="G238" s="851" t="s">
        <v>287</v>
      </c>
    </row>
    <row r="239" spans="2:7" s="12" customFormat="1" ht="17.25" customHeight="1">
      <c r="B239" s="796"/>
      <c r="C239" s="859" t="s">
        <v>493</v>
      </c>
      <c r="D239" s="854">
        <v>1056</v>
      </c>
      <c r="E239" s="854">
        <v>1456.7</v>
      </c>
      <c r="F239" s="854">
        <v>2300</v>
      </c>
      <c r="G239" s="851" t="s">
        <v>287</v>
      </c>
    </row>
    <row r="240" spans="2:7" s="12" customFormat="1" ht="17.25" customHeight="1" thickBot="1">
      <c r="B240" s="798"/>
      <c r="C240" s="862" t="s">
        <v>494</v>
      </c>
      <c r="D240" s="1055">
        <v>3353.3</v>
      </c>
      <c r="E240" s="1055">
        <v>3513.3</v>
      </c>
      <c r="F240" s="1055">
        <v>3581</v>
      </c>
      <c r="G240" s="1014" t="s">
        <v>287</v>
      </c>
    </row>
    <row r="241" spans="2:7" s="12" customFormat="1" ht="22.5" customHeight="1" thickTop="1">
      <c r="B241" s="1271" t="s">
        <v>248</v>
      </c>
      <c r="C241" s="1271"/>
      <c r="G241" s="835"/>
    </row>
    <row r="242" spans="2:7" s="12" customFormat="1" ht="17.25" customHeight="1">
      <c r="B242" s="1135" t="s">
        <v>490</v>
      </c>
      <c r="C242" s="1135"/>
      <c r="D242" s="1135"/>
      <c r="E242" s="1135"/>
      <c r="F242" s="1135"/>
      <c r="G242" s="1135"/>
    </row>
    <row r="243" spans="2:7" s="12" customFormat="1" ht="17.25" customHeight="1">
      <c r="B243" s="1052"/>
      <c r="C243" s="1052"/>
      <c r="D243" s="1052"/>
      <c r="E243" s="1052"/>
      <c r="F243" s="1052"/>
      <c r="G243" s="1052"/>
    </row>
    <row r="244" spans="2:7" s="12" customFormat="1" ht="17.25" customHeight="1">
      <c r="B244" s="1052"/>
      <c r="C244" s="1052"/>
      <c r="D244" s="1052"/>
      <c r="E244" s="1052"/>
      <c r="F244" s="1052"/>
      <c r="G244" s="1052"/>
    </row>
    <row r="245" spans="2:7" s="12" customFormat="1" ht="24.75" customHeight="1">
      <c r="B245" s="1052"/>
      <c r="C245" s="1052"/>
      <c r="D245" s="1052"/>
      <c r="E245" s="1052"/>
      <c r="F245" s="1052"/>
      <c r="G245" s="1052"/>
    </row>
    <row r="246" spans="2:7" s="12" customFormat="1" ht="17.25" customHeight="1">
      <c r="B246" s="772"/>
      <c r="C246" s="772"/>
      <c r="D246" s="772"/>
      <c r="E246" s="772"/>
      <c r="F246" s="772"/>
      <c r="G246" s="772"/>
    </row>
    <row r="247" spans="2:7" s="12" customFormat="1" ht="26.25" customHeight="1">
      <c r="B247" s="1280" t="s">
        <v>204</v>
      </c>
      <c r="C247" s="1280"/>
      <c r="D247" s="1280"/>
      <c r="E247" s="1280"/>
      <c r="F247" s="1280"/>
      <c r="G247" s="864">
        <v>72</v>
      </c>
    </row>
    <row r="248" spans="2:7" s="12" customFormat="1" ht="27" customHeight="1">
      <c r="B248" s="1279" t="s">
        <v>555</v>
      </c>
      <c r="C248" s="1279"/>
      <c r="D248" s="1279"/>
      <c r="E248" s="1279"/>
      <c r="F248" s="1279"/>
      <c r="G248" s="1279"/>
    </row>
    <row r="249" spans="2:7" s="12" customFormat="1" ht="16.5" thickBot="1">
      <c r="B249" s="1278" t="s">
        <v>562</v>
      </c>
      <c r="C249" s="1278"/>
      <c r="D249" s="775"/>
      <c r="E249" s="775"/>
      <c r="F249" s="775"/>
      <c r="G249" s="775"/>
    </row>
    <row r="250" spans="2:7" s="141" customFormat="1" ht="28.5" customHeight="1" thickTop="1">
      <c r="B250" s="776" t="s">
        <v>178</v>
      </c>
      <c r="C250" s="776" t="s">
        <v>0</v>
      </c>
      <c r="D250" s="776" t="s">
        <v>471</v>
      </c>
      <c r="E250" s="776" t="s">
        <v>472</v>
      </c>
      <c r="F250" s="776" t="s">
        <v>473</v>
      </c>
      <c r="G250" s="776" t="s">
        <v>474</v>
      </c>
    </row>
    <row r="251" spans="2:7" s="12" customFormat="1" ht="17.25" customHeight="1">
      <c r="B251" s="797" t="s">
        <v>101</v>
      </c>
      <c r="C251" s="863" t="s">
        <v>495</v>
      </c>
      <c r="D251" s="850">
        <v>8.5</v>
      </c>
      <c r="E251" s="850">
        <v>8.5</v>
      </c>
      <c r="F251" s="850">
        <v>8.3000000000000007</v>
      </c>
      <c r="G251" s="850">
        <v>7.9</v>
      </c>
    </row>
    <row r="252" spans="2:7" s="12" customFormat="1" ht="17.25" customHeight="1">
      <c r="B252" s="795"/>
      <c r="C252" s="859" t="s">
        <v>496</v>
      </c>
      <c r="D252" s="851">
        <v>8.3000000000000007</v>
      </c>
      <c r="E252" s="851">
        <v>8.3000000000000007</v>
      </c>
      <c r="F252" s="851">
        <v>8</v>
      </c>
      <c r="G252" s="851">
        <v>7.7</v>
      </c>
    </row>
    <row r="253" spans="2:7" s="12" customFormat="1" ht="17.25" customHeight="1">
      <c r="B253" s="796"/>
      <c r="C253" s="859" t="s">
        <v>497</v>
      </c>
      <c r="D253" s="851">
        <v>8.4</v>
      </c>
      <c r="E253" s="851">
        <v>8.4</v>
      </c>
      <c r="F253" s="851">
        <v>7.9</v>
      </c>
      <c r="G253" s="851">
        <v>8</v>
      </c>
    </row>
    <row r="254" spans="2:7" s="12" customFormat="1" ht="17.25" customHeight="1">
      <c r="B254" s="799"/>
      <c r="C254" s="861" t="s">
        <v>498</v>
      </c>
      <c r="D254" s="856">
        <v>8.6999999999999993</v>
      </c>
      <c r="E254" s="856">
        <v>8.6</v>
      </c>
      <c r="F254" s="856">
        <v>8</v>
      </c>
      <c r="G254" s="856">
        <v>8.3000000000000007</v>
      </c>
    </row>
    <row r="255" spans="2:7" s="12" customFormat="1" ht="17.25" customHeight="1">
      <c r="B255" s="795" t="s">
        <v>475</v>
      </c>
      <c r="C255" s="863" t="s">
        <v>495</v>
      </c>
      <c r="D255" s="850">
        <v>1332</v>
      </c>
      <c r="E255" s="850">
        <v>694.5</v>
      </c>
      <c r="F255" s="850">
        <v>1124</v>
      </c>
      <c r="G255" s="850">
        <v>495</v>
      </c>
    </row>
    <row r="256" spans="2:7" s="12" customFormat="1" ht="17.25" customHeight="1">
      <c r="B256" s="795" t="s">
        <v>507</v>
      </c>
      <c r="C256" s="859" t="s">
        <v>496</v>
      </c>
      <c r="D256" s="851">
        <v>1314</v>
      </c>
      <c r="E256" s="851">
        <v>1094.3</v>
      </c>
      <c r="F256" s="851">
        <v>3215</v>
      </c>
      <c r="G256" s="851">
        <v>2149</v>
      </c>
    </row>
    <row r="257" spans="2:7" s="12" customFormat="1" ht="17.25" customHeight="1">
      <c r="B257" s="796"/>
      <c r="C257" s="859" t="s">
        <v>497</v>
      </c>
      <c r="D257" s="851">
        <v>1295</v>
      </c>
      <c r="E257" s="851">
        <v>1030.7</v>
      </c>
      <c r="F257" s="851">
        <v>3511.7</v>
      </c>
      <c r="G257" s="851">
        <v>2150</v>
      </c>
    </row>
    <row r="258" spans="2:7" s="12" customFormat="1" ht="17.25" customHeight="1">
      <c r="B258" s="799"/>
      <c r="C258" s="861" t="s">
        <v>498</v>
      </c>
      <c r="D258" s="856">
        <v>11100</v>
      </c>
      <c r="E258" s="856">
        <v>13312</v>
      </c>
      <c r="F258" s="856">
        <v>15203.7</v>
      </c>
      <c r="G258" s="856">
        <v>11459</v>
      </c>
    </row>
    <row r="259" spans="2:7" s="12" customFormat="1" ht="17.25" customHeight="1">
      <c r="B259" s="795" t="s">
        <v>158</v>
      </c>
      <c r="C259" s="863" t="s">
        <v>495</v>
      </c>
      <c r="D259" s="850">
        <v>185</v>
      </c>
      <c r="E259" s="850">
        <v>137</v>
      </c>
      <c r="F259" s="850">
        <v>189</v>
      </c>
      <c r="G259" s="850">
        <v>99</v>
      </c>
    </row>
    <row r="260" spans="2:7" s="12" customFormat="1" ht="17.25" customHeight="1">
      <c r="B260" s="795" t="s">
        <v>507</v>
      </c>
      <c r="C260" s="859" t="s">
        <v>496</v>
      </c>
      <c r="D260" s="851">
        <v>215</v>
      </c>
      <c r="E260" s="851">
        <v>203</v>
      </c>
      <c r="F260" s="851">
        <v>345.3</v>
      </c>
      <c r="G260" s="851">
        <v>250</v>
      </c>
    </row>
    <row r="261" spans="2:7" s="12" customFormat="1" ht="17.25" customHeight="1">
      <c r="B261" s="796"/>
      <c r="C261" s="859" t="s">
        <v>497</v>
      </c>
      <c r="D261" s="851">
        <v>207</v>
      </c>
      <c r="E261" s="851">
        <v>182.7</v>
      </c>
      <c r="F261" s="851">
        <v>339</v>
      </c>
      <c r="G261" s="851">
        <v>250</v>
      </c>
    </row>
    <row r="262" spans="2:7" s="12" customFormat="1" ht="17.25" customHeight="1">
      <c r="B262" s="799"/>
      <c r="C262" s="861" t="s">
        <v>498</v>
      </c>
      <c r="D262" s="856">
        <v>1036</v>
      </c>
      <c r="E262" s="856">
        <v>1250.3</v>
      </c>
      <c r="F262" s="856">
        <v>1060.7</v>
      </c>
      <c r="G262" s="856">
        <v>992</v>
      </c>
    </row>
    <row r="263" spans="2:7" s="12" customFormat="1" ht="17.25" customHeight="1">
      <c r="B263" s="795" t="s">
        <v>160</v>
      </c>
      <c r="C263" s="863" t="s">
        <v>495</v>
      </c>
      <c r="D263" s="850">
        <v>207</v>
      </c>
      <c r="E263" s="850">
        <v>76</v>
      </c>
      <c r="F263" s="850">
        <v>154</v>
      </c>
      <c r="G263" s="850">
        <v>59</v>
      </c>
    </row>
    <row r="264" spans="2:7" s="12" customFormat="1" ht="17.25" customHeight="1">
      <c r="B264" s="795" t="s">
        <v>507</v>
      </c>
      <c r="C264" s="859" t="s">
        <v>496</v>
      </c>
      <c r="D264" s="851">
        <v>185</v>
      </c>
      <c r="E264" s="851">
        <v>138</v>
      </c>
      <c r="F264" s="851">
        <v>557.29999999999995</v>
      </c>
      <c r="G264" s="851">
        <v>365</v>
      </c>
    </row>
    <row r="265" spans="2:7" s="12" customFormat="1" ht="17.25" customHeight="1">
      <c r="B265" s="796"/>
      <c r="C265" s="859" t="s">
        <v>497</v>
      </c>
      <c r="D265" s="851">
        <v>185</v>
      </c>
      <c r="E265" s="851">
        <v>135</v>
      </c>
      <c r="F265" s="851">
        <v>631.70000000000005</v>
      </c>
      <c r="G265" s="851">
        <v>365.5</v>
      </c>
    </row>
    <row r="266" spans="2:7" s="12" customFormat="1" ht="17.25" customHeight="1">
      <c r="B266" s="799"/>
      <c r="C266" s="861" t="s">
        <v>498</v>
      </c>
      <c r="D266" s="856">
        <v>2024</v>
      </c>
      <c r="E266" s="856">
        <v>2422.6999999999998</v>
      </c>
      <c r="F266" s="856">
        <v>2985.3</v>
      </c>
      <c r="G266" s="856">
        <v>1556</v>
      </c>
    </row>
    <row r="267" spans="2:7" s="12" customFormat="1" ht="17.25" customHeight="1">
      <c r="B267" s="795" t="s">
        <v>480</v>
      </c>
      <c r="C267" s="863" t="s">
        <v>495</v>
      </c>
      <c r="D267" s="850">
        <v>4310</v>
      </c>
      <c r="E267" s="850">
        <v>1340</v>
      </c>
      <c r="F267" s="850">
        <v>4017</v>
      </c>
      <c r="G267" s="850">
        <v>1336.5</v>
      </c>
    </row>
    <row r="268" spans="2:7" s="12" customFormat="1" ht="17.25" customHeight="1">
      <c r="B268" s="795" t="s">
        <v>507</v>
      </c>
      <c r="C268" s="859" t="s">
        <v>496</v>
      </c>
      <c r="D268" s="851">
        <v>4528</v>
      </c>
      <c r="E268" s="851">
        <v>3540.7</v>
      </c>
      <c r="F268" s="851">
        <v>9954.7000000000007</v>
      </c>
      <c r="G268" s="851">
        <v>9530</v>
      </c>
    </row>
    <row r="269" spans="2:7" s="12" customFormat="1" ht="17.25" customHeight="1">
      <c r="B269" s="796"/>
      <c r="C269" s="859" t="s">
        <v>497</v>
      </c>
      <c r="D269" s="851">
        <v>4204</v>
      </c>
      <c r="E269" s="851">
        <v>3472.7</v>
      </c>
      <c r="F269" s="851">
        <v>10081.299999999999</v>
      </c>
      <c r="G269" s="851">
        <v>9621</v>
      </c>
    </row>
    <row r="270" spans="2:7" s="12" customFormat="1" ht="17.25" customHeight="1">
      <c r="B270" s="799"/>
      <c r="C270" s="861" t="s">
        <v>498</v>
      </c>
      <c r="D270" s="856">
        <v>33784</v>
      </c>
      <c r="E270" s="856">
        <v>39870</v>
      </c>
      <c r="F270" s="856">
        <v>47736.7</v>
      </c>
      <c r="G270" s="856">
        <v>55864</v>
      </c>
    </row>
    <row r="271" spans="2:7" s="12" customFormat="1" ht="17.25" customHeight="1">
      <c r="B271" s="795" t="s">
        <v>506</v>
      </c>
      <c r="C271" s="863" t="s">
        <v>495</v>
      </c>
      <c r="D271" s="850">
        <v>6.2</v>
      </c>
      <c r="E271" s="850">
        <v>0.9</v>
      </c>
      <c r="F271" s="850">
        <v>2.4</v>
      </c>
      <c r="G271" s="850">
        <v>1.6</v>
      </c>
    </row>
    <row r="272" spans="2:7" s="12" customFormat="1" ht="17.25" customHeight="1">
      <c r="B272" s="795" t="s">
        <v>507</v>
      </c>
      <c r="C272" s="859" t="s">
        <v>496</v>
      </c>
      <c r="D272" s="851">
        <v>3.1</v>
      </c>
      <c r="E272" s="851">
        <v>2.6</v>
      </c>
      <c r="F272" s="851">
        <v>4</v>
      </c>
      <c r="G272" s="851">
        <v>2.2999999999999998</v>
      </c>
    </row>
    <row r="273" spans="2:7" s="12" customFormat="1" ht="17.25" customHeight="1">
      <c r="B273" s="796"/>
      <c r="C273" s="859" t="s">
        <v>497</v>
      </c>
      <c r="D273" s="851">
        <v>3.5</v>
      </c>
      <c r="E273" s="851">
        <v>2.9</v>
      </c>
      <c r="F273" s="851">
        <v>3</v>
      </c>
      <c r="G273" s="851">
        <v>2.2000000000000002</v>
      </c>
    </row>
    <row r="274" spans="2:7" s="12" customFormat="1" ht="17.25" customHeight="1">
      <c r="B274" s="799"/>
      <c r="C274" s="861" t="s">
        <v>498</v>
      </c>
      <c r="D274" s="856">
        <v>30.1</v>
      </c>
      <c r="E274" s="856">
        <v>8.3000000000000007</v>
      </c>
      <c r="F274" s="856">
        <v>5.0999999999999996</v>
      </c>
      <c r="G274" s="856">
        <v>3.5</v>
      </c>
    </row>
    <row r="275" spans="2:7" s="12" customFormat="1" ht="17.25" customHeight="1">
      <c r="B275" s="795" t="s">
        <v>505</v>
      </c>
      <c r="C275" s="863" t="s">
        <v>495</v>
      </c>
      <c r="D275" s="850">
        <v>1.3</v>
      </c>
      <c r="E275" s="850">
        <v>0.3</v>
      </c>
      <c r="F275" s="850">
        <v>0.3</v>
      </c>
      <c r="G275" s="850">
        <v>0.3</v>
      </c>
    </row>
    <row r="276" spans="2:7" s="12" customFormat="1" ht="17.25" customHeight="1">
      <c r="B276" s="795" t="s">
        <v>507</v>
      </c>
      <c r="C276" s="859" t="s">
        <v>496</v>
      </c>
      <c r="D276" s="851">
        <v>0.5</v>
      </c>
      <c r="E276" s="851">
        <v>0.5</v>
      </c>
      <c r="F276" s="851">
        <v>12.7</v>
      </c>
      <c r="G276" s="851">
        <v>0.3</v>
      </c>
    </row>
    <row r="277" spans="2:7" s="12" customFormat="1" ht="17.25" customHeight="1">
      <c r="B277" s="796"/>
      <c r="C277" s="859" t="s">
        <v>497</v>
      </c>
      <c r="D277" s="851">
        <v>0.6</v>
      </c>
      <c r="E277" s="851">
        <v>0.5</v>
      </c>
      <c r="F277" s="851">
        <v>0.5</v>
      </c>
      <c r="G277" s="851">
        <v>0.4</v>
      </c>
    </row>
    <row r="278" spans="2:7" s="12" customFormat="1" ht="17.25" customHeight="1">
      <c r="B278" s="796"/>
      <c r="C278" s="860" t="s">
        <v>498</v>
      </c>
      <c r="D278" s="856">
        <v>1.4</v>
      </c>
      <c r="E278" s="856">
        <v>0.4</v>
      </c>
      <c r="F278" s="856">
        <v>0.4</v>
      </c>
      <c r="G278" s="856">
        <v>0.2</v>
      </c>
    </row>
    <row r="279" spans="2:7" s="12" customFormat="1" ht="17.25" customHeight="1">
      <c r="B279" s="797" t="s">
        <v>156</v>
      </c>
      <c r="C279" s="858" t="s">
        <v>499</v>
      </c>
      <c r="D279" s="850">
        <v>1710</v>
      </c>
      <c r="E279" s="850">
        <v>363.5</v>
      </c>
      <c r="F279" s="850">
        <v>1792.5</v>
      </c>
      <c r="G279" s="850">
        <v>389</v>
      </c>
    </row>
    <row r="280" spans="2:7" s="12" customFormat="1" ht="17.25" customHeight="1">
      <c r="B280" s="795" t="s">
        <v>507</v>
      </c>
      <c r="C280" s="859" t="s">
        <v>496</v>
      </c>
      <c r="D280" s="851">
        <v>1511</v>
      </c>
      <c r="E280" s="851">
        <v>1172</v>
      </c>
      <c r="F280" s="851">
        <v>4871</v>
      </c>
      <c r="G280" s="851">
        <v>4978</v>
      </c>
    </row>
    <row r="281" spans="2:7" s="12" customFormat="1" ht="17.25" customHeight="1">
      <c r="B281" s="796"/>
      <c r="C281" s="859" t="s">
        <v>497</v>
      </c>
      <c r="D281" s="851">
        <v>1475</v>
      </c>
      <c r="E281" s="851">
        <v>1153</v>
      </c>
      <c r="F281" s="851">
        <v>4981</v>
      </c>
      <c r="G281" s="851">
        <v>5028</v>
      </c>
    </row>
    <row r="282" spans="2:7" s="12" customFormat="1" ht="17.25" customHeight="1">
      <c r="B282" s="799"/>
      <c r="C282" s="861" t="s">
        <v>498</v>
      </c>
      <c r="D282" s="856">
        <v>1710</v>
      </c>
      <c r="E282" s="856">
        <v>16724.5</v>
      </c>
      <c r="F282" s="856">
        <v>21214.7</v>
      </c>
      <c r="G282" s="856">
        <v>28174</v>
      </c>
    </row>
    <row r="283" spans="2:7" s="12" customFormat="1" ht="17.25" customHeight="1">
      <c r="B283" s="797" t="s">
        <v>485</v>
      </c>
      <c r="C283" s="863" t="s">
        <v>495</v>
      </c>
      <c r="D283" s="847">
        <v>6630</v>
      </c>
      <c r="E283" s="847">
        <v>2133.5</v>
      </c>
      <c r="F283" s="847">
        <v>2380</v>
      </c>
      <c r="G283" s="847">
        <v>2056</v>
      </c>
    </row>
    <row r="284" spans="2:7" s="12" customFormat="1" ht="17.25" customHeight="1">
      <c r="B284" s="795"/>
      <c r="C284" s="859" t="s">
        <v>496</v>
      </c>
      <c r="D284" s="848">
        <v>6950</v>
      </c>
      <c r="E284" s="848">
        <v>5310</v>
      </c>
      <c r="F284" s="848">
        <v>12235</v>
      </c>
      <c r="G284" s="848">
        <v>14200</v>
      </c>
    </row>
    <row r="285" spans="2:7" s="12" customFormat="1" ht="17.25" customHeight="1">
      <c r="B285" s="796"/>
      <c r="C285" s="859" t="s">
        <v>497</v>
      </c>
      <c r="D285" s="848">
        <v>6640</v>
      </c>
      <c r="E285" s="848">
        <v>5166.7</v>
      </c>
      <c r="F285" s="848">
        <v>12330</v>
      </c>
      <c r="G285" s="848">
        <v>14570</v>
      </c>
    </row>
    <row r="286" spans="2:7" s="12" customFormat="1" ht="17.25" customHeight="1" thickBot="1">
      <c r="B286" s="798"/>
      <c r="C286" s="862" t="s">
        <v>498</v>
      </c>
      <c r="D286" s="857">
        <v>40000</v>
      </c>
      <c r="E286" s="857">
        <v>49600</v>
      </c>
      <c r="F286" s="857">
        <v>61650</v>
      </c>
      <c r="G286" s="857">
        <v>71950</v>
      </c>
    </row>
    <row r="287" spans="2:7" s="12" customFormat="1" ht="21.75" customHeight="1" thickTop="1">
      <c r="B287" s="1064" t="s">
        <v>490</v>
      </c>
      <c r="C287" s="1064"/>
      <c r="G287" s="1065" t="s">
        <v>74</v>
      </c>
    </row>
    <row r="288" spans="2:7" s="12" customFormat="1" ht="15" customHeight="1">
      <c r="B288" s="1063"/>
      <c r="C288" s="1063"/>
      <c r="D288" s="1063"/>
      <c r="E288" s="1063"/>
      <c r="F288" s="1063"/>
      <c r="G288" s="1063"/>
    </row>
    <row r="289" spans="2:7" s="12" customFormat="1" ht="20.25" customHeight="1">
      <c r="B289" s="1122" t="s">
        <v>204</v>
      </c>
      <c r="C289" s="1122"/>
      <c r="D289" s="1122"/>
      <c r="E289" s="1122"/>
      <c r="F289" s="1122"/>
      <c r="G289" s="836">
        <v>73</v>
      </c>
    </row>
    <row r="290" spans="2:7" s="12" customFormat="1" ht="25.5" customHeight="1">
      <c r="B290" s="1279" t="s">
        <v>555</v>
      </c>
      <c r="C290" s="1279"/>
      <c r="D290" s="1279"/>
      <c r="E290" s="1279"/>
      <c r="F290" s="1279"/>
      <c r="G290" s="1279"/>
    </row>
    <row r="291" spans="2:7" s="12" customFormat="1" ht="21.75" customHeight="1" thickBot="1">
      <c r="B291" s="1278" t="s">
        <v>563</v>
      </c>
      <c r="C291" s="1278"/>
      <c r="D291" s="775"/>
      <c r="E291" s="775"/>
      <c r="F291" s="775"/>
      <c r="G291" s="775"/>
    </row>
    <row r="292" spans="2:7" s="141" customFormat="1" ht="28.5" customHeight="1" thickTop="1">
      <c r="B292" s="776" t="s">
        <v>178</v>
      </c>
      <c r="C292" s="776" t="s">
        <v>0</v>
      </c>
      <c r="D292" s="776" t="s">
        <v>471</v>
      </c>
      <c r="E292" s="776" t="s">
        <v>472</v>
      </c>
      <c r="F292" s="776" t="s">
        <v>473</v>
      </c>
      <c r="G292" s="776" t="s">
        <v>474</v>
      </c>
    </row>
    <row r="293" spans="2:7" s="12" customFormat="1" ht="17.25" customHeight="1">
      <c r="B293" s="795" t="s">
        <v>483</v>
      </c>
      <c r="C293" s="863" t="s">
        <v>495</v>
      </c>
      <c r="D293" s="850">
        <v>6.6</v>
      </c>
      <c r="E293" s="850">
        <v>12.6</v>
      </c>
      <c r="F293" s="850">
        <v>21.1</v>
      </c>
      <c r="G293" s="850">
        <v>53.7</v>
      </c>
    </row>
    <row r="294" spans="2:7" s="12" customFormat="1" ht="17.25" customHeight="1">
      <c r="B294" s="795"/>
      <c r="C294" s="859" t="s">
        <v>496</v>
      </c>
      <c r="D294" s="851">
        <v>43</v>
      </c>
      <c r="E294" s="851">
        <v>34.6</v>
      </c>
      <c r="F294" s="851">
        <v>20.8</v>
      </c>
      <c r="G294" s="851">
        <v>59.3</v>
      </c>
    </row>
    <row r="295" spans="2:7" s="12" customFormat="1" ht="17.25" customHeight="1">
      <c r="B295" s="796"/>
      <c r="C295" s="859" t="s">
        <v>497</v>
      </c>
      <c r="D295" s="851">
        <v>35.1</v>
      </c>
      <c r="E295" s="851">
        <v>42.4</v>
      </c>
      <c r="F295" s="851">
        <v>101.6</v>
      </c>
      <c r="G295" s="851">
        <v>59.1</v>
      </c>
    </row>
    <row r="296" spans="2:7" s="12" customFormat="1" ht="17.25" customHeight="1">
      <c r="B296" s="796"/>
      <c r="C296" s="860" t="s">
        <v>498</v>
      </c>
      <c r="D296" s="856">
        <v>13.9</v>
      </c>
      <c r="E296" s="856">
        <v>36.6</v>
      </c>
      <c r="F296" s="856">
        <v>17.600000000000001</v>
      </c>
      <c r="G296" s="856">
        <v>19</v>
      </c>
    </row>
    <row r="297" spans="2:7" s="12" customFormat="1" ht="19.5" customHeight="1">
      <c r="B297" s="797" t="s">
        <v>484</v>
      </c>
      <c r="C297" s="858" t="s">
        <v>495</v>
      </c>
      <c r="D297" s="850">
        <v>160</v>
      </c>
      <c r="E297" s="850">
        <v>120</v>
      </c>
      <c r="F297" s="850">
        <v>158</v>
      </c>
      <c r="G297" s="850">
        <v>123</v>
      </c>
    </row>
    <row r="298" spans="2:7" s="12" customFormat="1" ht="19.5" customHeight="1">
      <c r="B298" s="795" t="s">
        <v>507</v>
      </c>
      <c r="C298" s="859" t="s">
        <v>496</v>
      </c>
      <c r="D298" s="851">
        <v>166</v>
      </c>
      <c r="E298" s="851">
        <v>204</v>
      </c>
      <c r="F298" s="851">
        <v>186.7</v>
      </c>
      <c r="G298" s="851">
        <v>181.5</v>
      </c>
    </row>
    <row r="299" spans="2:7" s="12" customFormat="1" ht="19.5" customHeight="1">
      <c r="B299" s="796"/>
      <c r="C299" s="859" t="s">
        <v>497</v>
      </c>
      <c r="D299" s="851">
        <v>162</v>
      </c>
      <c r="E299" s="851">
        <v>202.7</v>
      </c>
      <c r="F299" s="851">
        <v>183.3</v>
      </c>
      <c r="G299" s="851">
        <v>177</v>
      </c>
    </row>
    <row r="300" spans="2:7" s="12" customFormat="1" ht="19.5" customHeight="1">
      <c r="B300" s="799"/>
      <c r="C300" s="861" t="s">
        <v>498</v>
      </c>
      <c r="D300" s="856">
        <v>192</v>
      </c>
      <c r="E300" s="856">
        <v>186.7</v>
      </c>
      <c r="F300" s="856">
        <v>166.7</v>
      </c>
      <c r="G300" s="856">
        <v>167</v>
      </c>
    </row>
    <row r="301" spans="2:7" s="12" customFormat="1" ht="19.5" customHeight="1">
      <c r="B301" s="795" t="s">
        <v>481</v>
      </c>
      <c r="C301" s="863" t="s">
        <v>495</v>
      </c>
      <c r="D301" s="850" t="s">
        <v>287</v>
      </c>
      <c r="E301" s="850" t="s">
        <v>287</v>
      </c>
      <c r="F301" s="850">
        <v>10.3</v>
      </c>
      <c r="G301" s="850">
        <v>7.2</v>
      </c>
    </row>
    <row r="302" spans="2:7" s="12" customFormat="1" ht="19.5" customHeight="1">
      <c r="B302" s="795" t="s">
        <v>507</v>
      </c>
      <c r="C302" s="859" t="s">
        <v>496</v>
      </c>
      <c r="D302" s="851" t="s">
        <v>287</v>
      </c>
      <c r="E302" s="851" t="s">
        <v>287</v>
      </c>
      <c r="F302" s="851">
        <v>9.5</v>
      </c>
      <c r="G302" s="851">
        <v>7.25</v>
      </c>
    </row>
    <row r="303" spans="2:7" s="12" customFormat="1" ht="19.5" customHeight="1">
      <c r="B303" s="796"/>
      <c r="C303" s="859" t="s">
        <v>497</v>
      </c>
      <c r="D303" s="851" t="s">
        <v>287</v>
      </c>
      <c r="E303" s="851" t="s">
        <v>287</v>
      </c>
      <c r="F303" s="851">
        <v>10</v>
      </c>
      <c r="G303" s="851">
        <v>7.39</v>
      </c>
    </row>
    <row r="304" spans="2:7" s="12" customFormat="1" ht="19.5" customHeight="1">
      <c r="B304" s="799"/>
      <c r="C304" s="861" t="s">
        <v>498</v>
      </c>
      <c r="D304" s="856" t="s">
        <v>287</v>
      </c>
      <c r="E304" s="856" t="s">
        <v>287</v>
      </c>
      <c r="F304" s="856">
        <v>9.6999999999999993</v>
      </c>
      <c r="G304" s="856">
        <v>9.1999999999999993</v>
      </c>
    </row>
    <row r="305" spans="2:7" s="12" customFormat="1" ht="19.5" customHeight="1">
      <c r="B305" s="795" t="s">
        <v>164</v>
      </c>
      <c r="C305" s="863" t="s">
        <v>495</v>
      </c>
      <c r="D305" s="850">
        <v>1020</v>
      </c>
      <c r="E305" s="850">
        <v>270</v>
      </c>
      <c r="F305" s="850">
        <v>1175</v>
      </c>
      <c r="G305" s="850">
        <v>333.5</v>
      </c>
    </row>
    <row r="306" spans="2:7" s="12" customFormat="1" ht="19.5" customHeight="1">
      <c r="B306" s="795" t="s">
        <v>507</v>
      </c>
      <c r="C306" s="859" t="s">
        <v>496</v>
      </c>
      <c r="D306" s="851">
        <v>1070</v>
      </c>
      <c r="E306" s="851">
        <v>906.7</v>
      </c>
      <c r="F306" s="851">
        <v>2666.7</v>
      </c>
      <c r="G306" s="851">
        <v>2650</v>
      </c>
    </row>
    <row r="307" spans="2:7" s="12" customFormat="1" ht="19.5" customHeight="1">
      <c r="B307" s="796"/>
      <c r="C307" s="859" t="s">
        <v>497</v>
      </c>
      <c r="D307" s="851">
        <v>1050</v>
      </c>
      <c r="E307" s="851">
        <v>920</v>
      </c>
      <c r="F307" s="851">
        <v>2700</v>
      </c>
      <c r="G307" s="851">
        <v>2650</v>
      </c>
    </row>
    <row r="308" spans="2:7" s="12" customFormat="1" ht="19.5" customHeight="1">
      <c r="B308" s="799"/>
      <c r="C308" s="861" t="s">
        <v>498</v>
      </c>
      <c r="D308" s="856">
        <v>12000</v>
      </c>
      <c r="E308" s="856">
        <v>14200</v>
      </c>
      <c r="F308" s="856">
        <v>12566.7</v>
      </c>
      <c r="G308" s="856">
        <v>18650</v>
      </c>
    </row>
    <row r="309" spans="2:7" s="12" customFormat="1" ht="19.5" customHeight="1">
      <c r="B309" s="795" t="s">
        <v>166</v>
      </c>
      <c r="C309" s="863" t="s">
        <v>495</v>
      </c>
      <c r="D309" s="850">
        <v>13</v>
      </c>
      <c r="E309" s="850">
        <v>3.9</v>
      </c>
      <c r="F309" s="850">
        <v>36</v>
      </c>
      <c r="G309" s="850">
        <v>6</v>
      </c>
    </row>
    <row r="310" spans="2:7" s="12" customFormat="1" ht="19.5" customHeight="1">
      <c r="B310" s="795" t="s">
        <v>507</v>
      </c>
      <c r="C310" s="859" t="s">
        <v>496</v>
      </c>
      <c r="D310" s="851">
        <v>18</v>
      </c>
      <c r="E310" s="851">
        <v>13.9</v>
      </c>
      <c r="F310" s="851">
        <v>125.3</v>
      </c>
      <c r="G310" s="851">
        <v>76</v>
      </c>
    </row>
    <row r="311" spans="2:7" s="12" customFormat="1" ht="19.5" customHeight="1">
      <c r="B311" s="796"/>
      <c r="C311" s="859" t="s">
        <v>497</v>
      </c>
      <c r="D311" s="851">
        <v>18</v>
      </c>
      <c r="E311" s="851">
        <v>13.9</v>
      </c>
      <c r="F311" s="851">
        <v>124</v>
      </c>
      <c r="G311" s="851">
        <v>81</v>
      </c>
    </row>
    <row r="312" spans="2:7" s="12" customFormat="1" ht="19.5" customHeight="1">
      <c r="B312" s="799"/>
      <c r="C312" s="861" t="s">
        <v>498</v>
      </c>
      <c r="D312" s="856">
        <v>150</v>
      </c>
      <c r="E312" s="856">
        <v>170</v>
      </c>
      <c r="F312" s="856">
        <v>243.3</v>
      </c>
      <c r="G312" s="856">
        <v>395</v>
      </c>
    </row>
    <row r="313" spans="2:7" s="12" customFormat="1" ht="19.5" customHeight="1">
      <c r="B313" s="795" t="s">
        <v>504</v>
      </c>
      <c r="C313" s="863" t="s">
        <v>495</v>
      </c>
      <c r="D313" s="847">
        <v>500</v>
      </c>
      <c r="E313" s="847">
        <v>300</v>
      </c>
      <c r="F313" s="847">
        <v>425</v>
      </c>
      <c r="G313" s="847">
        <v>195</v>
      </c>
    </row>
    <row r="314" spans="2:7" s="12" customFormat="1" ht="19.5" customHeight="1">
      <c r="B314" s="795" t="s">
        <v>507</v>
      </c>
      <c r="C314" s="859" t="s">
        <v>496</v>
      </c>
      <c r="D314" s="848">
        <v>750</v>
      </c>
      <c r="E314" s="848">
        <v>550</v>
      </c>
      <c r="F314" s="848">
        <v>1100</v>
      </c>
      <c r="G314" s="848">
        <v>950</v>
      </c>
    </row>
    <row r="315" spans="2:7" s="12" customFormat="1" ht="19.5" customHeight="1">
      <c r="B315" s="796"/>
      <c r="C315" s="859" t="s">
        <v>497</v>
      </c>
      <c r="D315" s="848">
        <v>650</v>
      </c>
      <c r="E315" s="848">
        <v>516.70000000000005</v>
      </c>
      <c r="F315" s="848">
        <v>1100</v>
      </c>
      <c r="G315" s="848">
        <v>950</v>
      </c>
    </row>
    <row r="316" spans="2:7" s="12" customFormat="1" ht="19.5" customHeight="1" thickBot="1">
      <c r="B316" s="798"/>
      <c r="C316" s="862" t="s">
        <v>498</v>
      </c>
      <c r="D316" s="857">
        <v>550</v>
      </c>
      <c r="E316" s="857">
        <v>4833.3</v>
      </c>
      <c r="F316" s="857">
        <v>4666.7</v>
      </c>
      <c r="G316" s="857">
        <v>5250</v>
      </c>
    </row>
    <row r="317" spans="2:7" ht="15.75" thickTop="1">
      <c r="B317" s="1260" t="s">
        <v>248</v>
      </c>
      <c r="C317" s="1260"/>
    </row>
    <row r="318" spans="2:7" s="12" customFormat="1" ht="21" customHeight="1">
      <c r="B318" s="1135" t="s">
        <v>490</v>
      </c>
      <c r="C318" s="1135"/>
      <c r="D318" s="1135"/>
      <c r="E318" s="1135"/>
      <c r="F318" s="1135"/>
      <c r="G318" s="1135"/>
    </row>
    <row r="319" spans="2:7" s="12" customFormat="1" ht="15.75" customHeight="1">
      <c r="B319" s="1032"/>
      <c r="C319" s="1032"/>
      <c r="D319" s="1032"/>
      <c r="E319" s="1032"/>
      <c r="F319" s="1032"/>
      <c r="G319" s="1032"/>
    </row>
    <row r="320" spans="2:7" s="12" customFormat="1" ht="15.75" customHeight="1">
      <c r="B320" s="1032"/>
      <c r="C320" s="1032"/>
      <c r="D320" s="1032"/>
      <c r="E320" s="1032"/>
      <c r="F320" s="1032"/>
      <c r="G320" s="1032"/>
    </row>
    <row r="321" spans="2:7" s="12" customFormat="1" ht="15.75" customHeight="1">
      <c r="B321" s="1032"/>
      <c r="C321" s="1032"/>
      <c r="D321" s="1032"/>
      <c r="E321" s="1032"/>
      <c r="F321" s="1032"/>
      <c r="G321" s="1032"/>
    </row>
    <row r="322" spans="2:7" s="12" customFormat="1" ht="15.75" customHeight="1">
      <c r="B322" s="1032"/>
      <c r="C322" s="1032"/>
      <c r="D322" s="1032"/>
      <c r="E322" s="1032"/>
      <c r="F322" s="1032"/>
      <c r="G322" s="1032"/>
    </row>
    <row r="323" spans="2:7" s="12" customFormat="1" ht="15.75" customHeight="1">
      <c r="B323" s="1032"/>
      <c r="C323" s="1032"/>
      <c r="D323" s="1032"/>
      <c r="E323" s="1032"/>
      <c r="F323" s="1032"/>
      <c r="G323" s="1032"/>
    </row>
    <row r="324" spans="2:7" s="12" customFormat="1" ht="15.75" customHeight="1">
      <c r="B324" s="772"/>
      <c r="C324" s="772"/>
      <c r="D324" s="772"/>
      <c r="E324" s="772"/>
      <c r="F324" s="772"/>
      <c r="G324" s="772"/>
    </row>
    <row r="325" spans="2:7" s="12" customFormat="1" ht="15.75" customHeight="1">
      <c r="B325" s="772"/>
      <c r="C325" s="772"/>
      <c r="D325" s="772"/>
      <c r="E325" s="772"/>
      <c r="F325" s="772"/>
      <c r="G325" s="772"/>
    </row>
    <row r="326" spans="2:7" s="12" customFormat="1" ht="15.75" customHeight="1">
      <c r="B326" s="772"/>
      <c r="C326" s="772"/>
      <c r="D326" s="772"/>
      <c r="E326" s="772"/>
      <c r="F326" s="772"/>
      <c r="G326" s="772"/>
    </row>
    <row r="327" spans="2:7" s="12" customFormat="1" ht="15.75" customHeight="1">
      <c r="B327" s="772"/>
      <c r="C327" s="772"/>
      <c r="D327" s="772"/>
      <c r="E327" s="772"/>
      <c r="F327" s="772"/>
      <c r="G327" s="772"/>
    </row>
    <row r="328" spans="2:7" s="12" customFormat="1">
      <c r="B328" s="772"/>
      <c r="C328" s="772"/>
      <c r="D328" s="772"/>
      <c r="E328" s="772"/>
      <c r="F328" s="772"/>
      <c r="G328" s="772"/>
    </row>
    <row r="329" spans="2:7" s="12" customFormat="1" ht="21" customHeight="1">
      <c r="B329" s="1122" t="s">
        <v>204</v>
      </c>
      <c r="C329" s="1122"/>
      <c r="D329" s="1122"/>
      <c r="E329" s="1122"/>
      <c r="F329" s="1122"/>
      <c r="G329" s="836">
        <v>74</v>
      </c>
    </row>
    <row r="330" spans="2:7" s="12" customFormat="1" ht="25.5" customHeight="1">
      <c r="B330" s="1279" t="s">
        <v>613</v>
      </c>
      <c r="C330" s="1279"/>
      <c r="D330" s="1279"/>
      <c r="E330" s="1279"/>
      <c r="F330" s="1279"/>
      <c r="G330" s="1279"/>
    </row>
    <row r="331" spans="2:7" s="12" customFormat="1" ht="23.25" customHeight="1" thickBot="1">
      <c r="B331" s="1278" t="s">
        <v>614</v>
      </c>
      <c r="C331" s="1278"/>
      <c r="D331" s="775"/>
      <c r="E331" s="775"/>
      <c r="F331" s="775"/>
      <c r="G331" s="775"/>
    </row>
    <row r="332" spans="2:7" ht="27" customHeight="1" thickTop="1">
      <c r="B332" s="776" t="s">
        <v>178</v>
      </c>
      <c r="C332" s="776" t="s">
        <v>0</v>
      </c>
      <c r="D332" s="776" t="s">
        <v>471</v>
      </c>
      <c r="E332" s="776" t="s">
        <v>472</v>
      </c>
      <c r="F332" s="776" t="s">
        <v>473</v>
      </c>
      <c r="G332" s="776" t="s">
        <v>474</v>
      </c>
    </row>
    <row r="333" spans="2:7" ht="17.25" customHeight="1">
      <c r="B333" s="797" t="s">
        <v>101</v>
      </c>
      <c r="C333" s="863" t="s">
        <v>616</v>
      </c>
      <c r="D333" s="850">
        <v>7.3</v>
      </c>
      <c r="E333" s="850">
        <v>7.6</v>
      </c>
      <c r="F333" s="850">
        <v>8.3000000000000007</v>
      </c>
      <c r="G333" s="850" t="s">
        <v>287</v>
      </c>
    </row>
    <row r="334" spans="2:7" ht="17.25" customHeight="1">
      <c r="B334" s="795"/>
      <c r="C334" s="859" t="s">
        <v>617</v>
      </c>
      <c r="D334" s="851">
        <v>7.4</v>
      </c>
      <c r="E334" s="851" t="s">
        <v>287</v>
      </c>
      <c r="F334" s="851" t="s">
        <v>287</v>
      </c>
      <c r="G334" s="851" t="s">
        <v>287</v>
      </c>
    </row>
    <row r="335" spans="2:7" ht="17.25" customHeight="1">
      <c r="B335" s="796"/>
      <c r="C335" s="859" t="s">
        <v>618</v>
      </c>
      <c r="D335" s="851">
        <v>8.1999999999999993</v>
      </c>
      <c r="E335" s="851" t="s">
        <v>287</v>
      </c>
      <c r="F335" s="851" t="s">
        <v>287</v>
      </c>
      <c r="G335" s="851" t="s">
        <v>287</v>
      </c>
    </row>
    <row r="336" spans="2:7" ht="17.25" customHeight="1">
      <c r="B336" s="799"/>
      <c r="C336" s="861" t="s">
        <v>619</v>
      </c>
      <c r="D336" s="856">
        <v>7.4</v>
      </c>
      <c r="E336" s="856" t="s">
        <v>287</v>
      </c>
      <c r="F336" s="856" t="s">
        <v>287</v>
      </c>
      <c r="G336" s="856" t="s">
        <v>287</v>
      </c>
    </row>
    <row r="337" spans="2:7" ht="17.25" customHeight="1">
      <c r="B337" s="795" t="s">
        <v>475</v>
      </c>
      <c r="C337" s="863" t="s">
        <v>616</v>
      </c>
      <c r="D337" s="850">
        <v>790</v>
      </c>
      <c r="E337" s="850">
        <v>1277</v>
      </c>
      <c r="F337" s="850">
        <v>984</v>
      </c>
      <c r="G337" s="850" t="s">
        <v>287</v>
      </c>
    </row>
    <row r="338" spans="2:7" ht="17.25" customHeight="1">
      <c r="B338" s="795" t="s">
        <v>507</v>
      </c>
      <c r="C338" s="859" t="s">
        <v>617</v>
      </c>
      <c r="D338" s="851">
        <v>1548.5</v>
      </c>
      <c r="E338" s="851">
        <v>590</v>
      </c>
      <c r="F338" s="851" t="s">
        <v>287</v>
      </c>
      <c r="G338" s="851" t="s">
        <v>287</v>
      </c>
    </row>
    <row r="339" spans="2:7" ht="17.25" customHeight="1">
      <c r="B339" s="796"/>
      <c r="C339" s="859" t="s">
        <v>618</v>
      </c>
      <c r="D339" s="851">
        <v>600</v>
      </c>
      <c r="E339" s="851" t="s">
        <v>287</v>
      </c>
      <c r="F339" s="851" t="s">
        <v>287</v>
      </c>
      <c r="G339" s="851" t="s">
        <v>287</v>
      </c>
    </row>
    <row r="340" spans="2:7" ht="17.25" customHeight="1">
      <c r="B340" s="799"/>
      <c r="C340" s="861" t="s">
        <v>619</v>
      </c>
      <c r="D340" s="856">
        <v>2100</v>
      </c>
      <c r="E340" s="856" t="s">
        <v>287</v>
      </c>
      <c r="F340" s="856" t="s">
        <v>287</v>
      </c>
      <c r="G340" s="856" t="s">
        <v>287</v>
      </c>
    </row>
    <row r="341" spans="2:7" ht="17.25" customHeight="1">
      <c r="B341" s="795" t="s">
        <v>158</v>
      </c>
      <c r="C341" s="863" t="s">
        <v>616</v>
      </c>
      <c r="D341" s="850">
        <v>148.5</v>
      </c>
      <c r="E341" s="850">
        <v>160</v>
      </c>
      <c r="F341" s="850">
        <v>165</v>
      </c>
      <c r="G341" s="850" t="s">
        <v>287</v>
      </c>
    </row>
    <row r="342" spans="2:7" ht="17.25" customHeight="1">
      <c r="B342" s="795" t="s">
        <v>507</v>
      </c>
      <c r="C342" s="859" t="s">
        <v>617</v>
      </c>
      <c r="D342" s="851">
        <v>227.5</v>
      </c>
      <c r="E342" s="851">
        <v>150</v>
      </c>
      <c r="F342" s="851" t="s">
        <v>287</v>
      </c>
      <c r="G342" s="851" t="s">
        <v>287</v>
      </c>
    </row>
    <row r="343" spans="2:7" ht="17.25" customHeight="1">
      <c r="B343" s="796"/>
      <c r="C343" s="859" t="s">
        <v>618</v>
      </c>
      <c r="D343" s="851">
        <v>145</v>
      </c>
      <c r="E343" s="851" t="s">
        <v>287</v>
      </c>
      <c r="F343" s="851" t="s">
        <v>287</v>
      </c>
      <c r="G343" s="851" t="s">
        <v>287</v>
      </c>
    </row>
    <row r="344" spans="2:7" ht="17.25" customHeight="1">
      <c r="B344" s="799"/>
      <c r="C344" s="861" t="s">
        <v>619</v>
      </c>
      <c r="D344" s="856">
        <v>175</v>
      </c>
      <c r="E344" s="856" t="s">
        <v>287</v>
      </c>
      <c r="F344" s="856" t="s">
        <v>287</v>
      </c>
      <c r="G344" s="856" t="s">
        <v>287</v>
      </c>
    </row>
    <row r="345" spans="2:7" ht="17.25" customHeight="1">
      <c r="B345" s="795" t="s">
        <v>480</v>
      </c>
      <c r="C345" s="863" t="s">
        <v>616</v>
      </c>
      <c r="D345" s="850">
        <v>1503.5</v>
      </c>
      <c r="E345" s="850">
        <v>2560</v>
      </c>
      <c r="F345" s="850">
        <v>2586</v>
      </c>
      <c r="G345" s="850" t="s">
        <v>287</v>
      </c>
    </row>
    <row r="346" spans="2:7" ht="17.25" customHeight="1">
      <c r="B346" s="795" t="s">
        <v>507</v>
      </c>
      <c r="C346" s="859" t="s">
        <v>617</v>
      </c>
      <c r="D346" s="851">
        <v>2398.5</v>
      </c>
      <c r="E346" s="851">
        <v>1521</v>
      </c>
      <c r="F346" s="851" t="s">
        <v>287</v>
      </c>
      <c r="G346" s="851" t="s">
        <v>287</v>
      </c>
    </row>
    <row r="347" spans="2:7" ht="17.25" customHeight="1">
      <c r="B347" s="796"/>
      <c r="C347" s="859" t="s">
        <v>618</v>
      </c>
      <c r="D347" s="851">
        <v>1218</v>
      </c>
      <c r="E347" s="851" t="s">
        <v>287</v>
      </c>
      <c r="F347" s="851" t="s">
        <v>287</v>
      </c>
      <c r="G347" s="851" t="s">
        <v>287</v>
      </c>
    </row>
    <row r="348" spans="2:7" ht="17.25" customHeight="1">
      <c r="B348" s="799"/>
      <c r="C348" s="861" t="s">
        <v>619</v>
      </c>
      <c r="D348" s="856">
        <v>3528</v>
      </c>
      <c r="E348" s="856" t="s">
        <v>287</v>
      </c>
      <c r="F348" s="856" t="s">
        <v>287</v>
      </c>
      <c r="G348" s="856" t="s">
        <v>287</v>
      </c>
    </row>
    <row r="349" spans="2:7" ht="17.25" customHeight="1">
      <c r="B349" s="795" t="s">
        <v>506</v>
      </c>
      <c r="C349" s="863" t="s">
        <v>616</v>
      </c>
      <c r="D349" s="850">
        <v>8.8000000000000007</v>
      </c>
      <c r="E349" s="850">
        <v>90.8</v>
      </c>
      <c r="F349" s="850">
        <v>12.1</v>
      </c>
      <c r="G349" s="850" t="s">
        <v>287</v>
      </c>
    </row>
    <row r="350" spans="2:7" ht="17.25" customHeight="1">
      <c r="B350" s="795" t="s">
        <v>507</v>
      </c>
      <c r="C350" s="859" t="s">
        <v>617</v>
      </c>
      <c r="D350" s="851">
        <v>18.2</v>
      </c>
      <c r="E350" s="851">
        <v>19.7</v>
      </c>
      <c r="F350" s="851" t="s">
        <v>287</v>
      </c>
      <c r="G350" s="851" t="s">
        <v>287</v>
      </c>
    </row>
    <row r="351" spans="2:7" ht="17.25" customHeight="1">
      <c r="B351" s="796"/>
      <c r="C351" s="859" t="s">
        <v>618</v>
      </c>
      <c r="D351" s="851">
        <v>4.3</v>
      </c>
      <c r="E351" s="851">
        <v>2.5</v>
      </c>
      <c r="F351" s="851" t="s">
        <v>287</v>
      </c>
      <c r="G351" s="851" t="s">
        <v>287</v>
      </c>
    </row>
    <row r="352" spans="2:7" ht="17.25" customHeight="1">
      <c r="B352" s="799"/>
      <c r="C352" s="861" t="s">
        <v>619</v>
      </c>
      <c r="D352" s="856">
        <v>27.2</v>
      </c>
      <c r="E352" s="856">
        <v>7</v>
      </c>
      <c r="F352" s="856" t="s">
        <v>287</v>
      </c>
      <c r="G352" s="856" t="s">
        <v>287</v>
      </c>
    </row>
    <row r="353" spans="2:7" ht="17.25" customHeight="1">
      <c r="B353" s="795" t="s">
        <v>505</v>
      </c>
      <c r="C353" s="863" t="s">
        <v>616</v>
      </c>
      <c r="D353" s="1058">
        <v>0.06</v>
      </c>
      <c r="E353" s="1058">
        <v>1.1000000000000001</v>
      </c>
      <c r="F353" s="1058">
        <v>0.32</v>
      </c>
      <c r="G353" s="850" t="s">
        <v>287</v>
      </c>
    </row>
    <row r="354" spans="2:7" ht="17.25" customHeight="1">
      <c r="B354" s="795" t="s">
        <v>507</v>
      </c>
      <c r="C354" s="859" t="s">
        <v>617</v>
      </c>
      <c r="D354" s="1059">
        <v>0.18</v>
      </c>
      <c r="E354" s="1059">
        <v>0.92</v>
      </c>
      <c r="F354" s="1059" t="s">
        <v>287</v>
      </c>
      <c r="G354" s="851" t="s">
        <v>287</v>
      </c>
    </row>
    <row r="355" spans="2:7" ht="17.25" customHeight="1">
      <c r="B355" s="796"/>
      <c r="C355" s="859" t="s">
        <v>618</v>
      </c>
      <c r="D355" s="1059">
        <v>0.03</v>
      </c>
      <c r="E355" s="1059" t="s">
        <v>287</v>
      </c>
      <c r="F355" s="1059" t="s">
        <v>287</v>
      </c>
      <c r="G355" s="851" t="s">
        <v>287</v>
      </c>
    </row>
    <row r="356" spans="2:7" ht="17.25" customHeight="1">
      <c r="B356" s="796"/>
      <c r="C356" s="861" t="s">
        <v>619</v>
      </c>
      <c r="D356" s="1060">
        <v>0.19</v>
      </c>
      <c r="E356" s="1060" t="s">
        <v>287</v>
      </c>
      <c r="F356" s="1060" t="s">
        <v>287</v>
      </c>
      <c r="G356" s="856" t="s">
        <v>287</v>
      </c>
    </row>
    <row r="357" spans="2:7" ht="17.25" customHeight="1">
      <c r="B357" s="797" t="s">
        <v>156</v>
      </c>
      <c r="C357" s="863" t="s">
        <v>616</v>
      </c>
      <c r="D357" s="850">
        <v>705</v>
      </c>
      <c r="E357" s="850">
        <v>939.3</v>
      </c>
      <c r="F357" s="850">
        <v>530</v>
      </c>
      <c r="G357" s="850" t="s">
        <v>287</v>
      </c>
    </row>
    <row r="358" spans="2:7" ht="17.25" customHeight="1">
      <c r="B358" s="795" t="s">
        <v>507</v>
      </c>
      <c r="C358" s="859" t="s">
        <v>617</v>
      </c>
      <c r="D358" s="851">
        <v>1026</v>
      </c>
      <c r="E358" s="851">
        <v>470</v>
      </c>
      <c r="F358" s="851" t="s">
        <v>287</v>
      </c>
      <c r="G358" s="851" t="s">
        <v>287</v>
      </c>
    </row>
    <row r="359" spans="2:7" ht="17.25" customHeight="1">
      <c r="B359" s="796"/>
      <c r="C359" s="859" t="s">
        <v>618</v>
      </c>
      <c r="D359" s="851">
        <v>410</v>
      </c>
      <c r="E359" s="851" t="s">
        <v>287</v>
      </c>
      <c r="F359" s="851" t="s">
        <v>287</v>
      </c>
      <c r="G359" s="851" t="s">
        <v>287</v>
      </c>
    </row>
    <row r="360" spans="2:7" ht="17.25" customHeight="1">
      <c r="B360" s="799"/>
      <c r="C360" s="861" t="s">
        <v>619</v>
      </c>
      <c r="D360" s="856">
        <v>1697</v>
      </c>
      <c r="E360" s="856" t="s">
        <v>287</v>
      </c>
      <c r="F360" s="856" t="s">
        <v>287</v>
      </c>
      <c r="G360" s="856" t="s">
        <v>287</v>
      </c>
    </row>
    <row r="361" spans="2:7" ht="17.25" customHeight="1">
      <c r="B361" s="797" t="s">
        <v>485</v>
      </c>
      <c r="C361" s="863" t="s">
        <v>616</v>
      </c>
      <c r="D361" s="847">
        <v>2845</v>
      </c>
      <c r="E361" s="847">
        <v>4236.7</v>
      </c>
      <c r="F361" s="847">
        <v>4870</v>
      </c>
      <c r="G361" s="850" t="s">
        <v>287</v>
      </c>
    </row>
    <row r="362" spans="2:7" ht="17.25" customHeight="1">
      <c r="B362" s="795"/>
      <c r="C362" s="859" t="s">
        <v>617</v>
      </c>
      <c r="D362" s="848">
        <v>4323.5</v>
      </c>
      <c r="E362" s="848" t="s">
        <v>287</v>
      </c>
      <c r="F362" s="848" t="s">
        <v>287</v>
      </c>
      <c r="G362" s="851" t="s">
        <v>287</v>
      </c>
    </row>
    <row r="363" spans="2:7" ht="17.25" customHeight="1">
      <c r="B363" s="796"/>
      <c r="C363" s="859" t="s">
        <v>618</v>
      </c>
      <c r="D363" s="848">
        <v>2431</v>
      </c>
      <c r="E363" s="848" t="s">
        <v>287</v>
      </c>
      <c r="F363" s="848" t="s">
        <v>287</v>
      </c>
      <c r="G363" s="851" t="s">
        <v>287</v>
      </c>
    </row>
    <row r="364" spans="2:7" ht="17.25" customHeight="1" thickBot="1">
      <c r="B364" s="798"/>
      <c r="C364" s="861" t="s">
        <v>619</v>
      </c>
      <c r="D364" s="857">
        <v>6810</v>
      </c>
      <c r="E364" s="857" t="s">
        <v>287</v>
      </c>
      <c r="F364" s="857" t="s">
        <v>287</v>
      </c>
      <c r="G364" s="1014" t="s">
        <v>287</v>
      </c>
    </row>
    <row r="365" spans="2:7" ht="24" customHeight="1" thickTop="1">
      <c r="B365" s="1260" t="s">
        <v>248</v>
      </c>
      <c r="C365" s="1260"/>
      <c r="D365" s="12"/>
      <c r="E365" s="12"/>
      <c r="F365" s="12"/>
      <c r="G365" s="1065" t="s">
        <v>74</v>
      </c>
    </row>
    <row r="366" spans="2:7">
      <c r="B366" s="1135" t="s">
        <v>490</v>
      </c>
      <c r="C366" s="1135"/>
      <c r="D366" s="1135"/>
      <c r="E366" s="1135"/>
      <c r="F366" s="1135"/>
      <c r="G366" s="1135"/>
    </row>
    <row r="367" spans="2:7" s="1042" customFormat="1" ht="15.75" customHeight="1">
      <c r="B367" s="1052"/>
      <c r="C367" s="1052"/>
      <c r="D367" s="1052"/>
      <c r="E367" s="1052"/>
      <c r="F367" s="1052"/>
      <c r="G367" s="1052"/>
    </row>
    <row r="368" spans="2:7" s="1042" customFormat="1" ht="15.75" customHeight="1">
      <c r="B368" s="1052"/>
      <c r="C368" s="1052"/>
      <c r="D368" s="1052"/>
      <c r="E368" s="1052"/>
      <c r="F368" s="1052"/>
      <c r="G368" s="1052"/>
    </row>
    <row r="369" spans="2:7" s="1042" customFormat="1" ht="15.75" customHeight="1">
      <c r="B369" s="1052"/>
      <c r="C369" s="1052"/>
      <c r="D369" s="1052"/>
      <c r="E369" s="1052"/>
      <c r="F369" s="1052"/>
      <c r="G369" s="1052"/>
    </row>
    <row r="370" spans="2:7" s="1042" customFormat="1" ht="15.75" customHeight="1">
      <c r="B370" s="1052"/>
      <c r="C370" s="1052"/>
      <c r="D370" s="1052"/>
      <c r="E370" s="1052"/>
      <c r="F370" s="1052"/>
      <c r="G370" s="1052"/>
    </row>
    <row r="371" spans="2:7" ht="26.25" customHeight="1">
      <c r="B371" s="1122" t="s">
        <v>204</v>
      </c>
      <c r="C371" s="1122"/>
      <c r="D371" s="1122"/>
      <c r="E371" s="1122"/>
      <c r="F371" s="1122"/>
      <c r="G371" s="1031">
        <v>75</v>
      </c>
    </row>
    <row r="372" spans="2:7" ht="30" customHeight="1">
      <c r="B372" s="1279" t="s">
        <v>613</v>
      </c>
      <c r="C372" s="1279"/>
      <c r="D372" s="1279"/>
      <c r="E372" s="1279"/>
      <c r="F372" s="1279"/>
      <c r="G372" s="1279"/>
    </row>
    <row r="373" spans="2:7" ht="26.25" customHeight="1" thickBot="1">
      <c r="B373" s="1278" t="s">
        <v>615</v>
      </c>
      <c r="C373" s="1278"/>
      <c r="D373" s="775"/>
      <c r="E373" s="775"/>
      <c r="F373" s="775"/>
      <c r="G373" s="775"/>
    </row>
    <row r="374" spans="2:7" ht="22.5" customHeight="1" thickTop="1">
      <c r="B374" s="776" t="s">
        <v>178</v>
      </c>
      <c r="C374" s="776" t="s">
        <v>0</v>
      </c>
      <c r="D374" s="776" t="s">
        <v>471</v>
      </c>
      <c r="E374" s="776" t="s">
        <v>472</v>
      </c>
      <c r="F374" s="776" t="s">
        <v>473</v>
      </c>
      <c r="G374" s="776" t="s">
        <v>474</v>
      </c>
    </row>
    <row r="375" spans="2:7" ht="23.25" customHeight="1">
      <c r="B375" s="795" t="s">
        <v>483</v>
      </c>
      <c r="C375" s="863" t="s">
        <v>616</v>
      </c>
      <c r="D375" s="850">
        <v>61.5</v>
      </c>
      <c r="E375" s="850">
        <v>14.7</v>
      </c>
      <c r="F375" s="850">
        <v>28</v>
      </c>
      <c r="G375" s="850" t="s">
        <v>287</v>
      </c>
    </row>
    <row r="376" spans="2:7" ht="23.25" customHeight="1">
      <c r="B376" s="795"/>
      <c r="C376" s="859" t="s">
        <v>617</v>
      </c>
      <c r="D376" s="851">
        <v>57</v>
      </c>
      <c r="E376" s="851">
        <v>30</v>
      </c>
      <c r="F376" s="851" t="s">
        <v>287</v>
      </c>
      <c r="G376" s="851" t="s">
        <v>287</v>
      </c>
    </row>
    <row r="377" spans="2:7" ht="23.25" customHeight="1">
      <c r="B377" s="796"/>
      <c r="C377" s="859" t="s">
        <v>618</v>
      </c>
      <c r="D377" s="851">
        <v>13</v>
      </c>
      <c r="E377" s="851" t="s">
        <v>287</v>
      </c>
      <c r="F377" s="851" t="s">
        <v>287</v>
      </c>
      <c r="G377" s="851" t="s">
        <v>287</v>
      </c>
    </row>
    <row r="378" spans="2:7" ht="23.25" customHeight="1">
      <c r="B378" s="796"/>
      <c r="C378" s="861" t="s">
        <v>619</v>
      </c>
      <c r="D378" s="856">
        <v>7</v>
      </c>
      <c r="E378" s="856" t="s">
        <v>287</v>
      </c>
      <c r="F378" s="856" t="s">
        <v>287</v>
      </c>
      <c r="G378" s="856" t="s">
        <v>287</v>
      </c>
    </row>
    <row r="379" spans="2:7" ht="23.25" customHeight="1">
      <c r="B379" s="797" t="s">
        <v>484</v>
      </c>
      <c r="C379" s="863" t="s">
        <v>616</v>
      </c>
      <c r="D379" s="850">
        <v>205</v>
      </c>
      <c r="E379" s="850">
        <v>230</v>
      </c>
      <c r="F379" s="850">
        <v>240</v>
      </c>
      <c r="G379" s="850" t="s">
        <v>287</v>
      </c>
    </row>
    <row r="380" spans="2:7" ht="23.25" customHeight="1">
      <c r="B380" s="795" t="s">
        <v>507</v>
      </c>
      <c r="C380" s="859" t="s">
        <v>617</v>
      </c>
      <c r="D380" s="851">
        <v>230</v>
      </c>
      <c r="E380" s="851">
        <v>210</v>
      </c>
      <c r="F380" s="851" t="s">
        <v>287</v>
      </c>
      <c r="G380" s="851" t="s">
        <v>287</v>
      </c>
    </row>
    <row r="381" spans="2:7" ht="23.25" customHeight="1">
      <c r="B381" s="796"/>
      <c r="C381" s="859" t="s">
        <v>618</v>
      </c>
      <c r="D381" s="851">
        <v>180</v>
      </c>
      <c r="E381" s="851" t="s">
        <v>287</v>
      </c>
      <c r="F381" s="851" t="s">
        <v>287</v>
      </c>
      <c r="G381" s="851" t="s">
        <v>287</v>
      </c>
    </row>
    <row r="382" spans="2:7" ht="23.25" customHeight="1" thickBot="1">
      <c r="B382" s="798"/>
      <c r="C382" s="862" t="s">
        <v>619</v>
      </c>
      <c r="D382" s="1014">
        <v>280</v>
      </c>
      <c r="E382" s="1014" t="s">
        <v>287</v>
      </c>
      <c r="F382" s="1014" t="s">
        <v>287</v>
      </c>
      <c r="G382" s="1014" t="s">
        <v>287</v>
      </c>
    </row>
    <row r="383" spans="2:7" s="1042" customFormat="1" ht="24" customHeight="1" thickTop="1">
      <c r="B383" s="1260" t="s">
        <v>248</v>
      </c>
      <c r="C383" s="1260"/>
      <c r="D383" s="12"/>
      <c r="E383" s="12"/>
      <c r="F383" s="12"/>
      <c r="G383" s="1065"/>
    </row>
    <row r="384" spans="2:7" ht="21.75" customHeight="1">
      <c r="B384" s="1135" t="s">
        <v>490</v>
      </c>
      <c r="C384" s="1135"/>
      <c r="D384" s="1135"/>
      <c r="E384" s="1135"/>
      <c r="F384" s="1135"/>
      <c r="G384" s="1135"/>
    </row>
    <row r="385" spans="2:7">
      <c r="B385" s="1032"/>
      <c r="C385" s="1032"/>
      <c r="D385" s="1032"/>
      <c r="E385" s="1032"/>
      <c r="F385" s="1032"/>
      <c r="G385" s="1032"/>
    </row>
    <row r="386" spans="2:7" s="1042" customFormat="1">
      <c r="B386" s="1056"/>
      <c r="C386" s="1056"/>
      <c r="D386" s="1056"/>
      <c r="E386" s="1056"/>
      <c r="F386" s="1056"/>
      <c r="G386" s="1056"/>
    </row>
    <row r="387" spans="2:7" s="1042" customFormat="1">
      <c r="B387" s="1056"/>
      <c r="C387" s="1056"/>
      <c r="D387" s="1056"/>
      <c r="E387" s="1056"/>
      <c r="F387" s="1056"/>
      <c r="G387" s="1056"/>
    </row>
    <row r="388" spans="2:7" s="1042" customFormat="1">
      <c r="B388" s="1056"/>
      <c r="C388" s="1056"/>
      <c r="D388" s="1056"/>
      <c r="E388" s="1056"/>
      <c r="F388" s="1056"/>
      <c r="G388" s="1056"/>
    </row>
    <row r="389" spans="2:7" s="1042" customFormat="1">
      <c r="B389" s="1056"/>
      <c r="C389" s="1056"/>
      <c r="D389" s="1056"/>
      <c r="E389" s="1056"/>
      <c r="F389" s="1056"/>
      <c r="G389" s="1056"/>
    </row>
    <row r="390" spans="2:7" s="1042" customFormat="1">
      <c r="B390" s="1056"/>
      <c r="C390" s="1056"/>
      <c r="D390" s="1056"/>
      <c r="E390" s="1056"/>
      <c r="F390" s="1056"/>
      <c r="G390" s="1056"/>
    </row>
    <row r="391" spans="2:7" s="1042" customFormat="1">
      <c r="B391" s="1056"/>
      <c r="C391" s="1056"/>
      <c r="D391" s="1056"/>
      <c r="E391" s="1056"/>
      <c r="F391" s="1056"/>
      <c r="G391" s="1056"/>
    </row>
    <row r="392" spans="2:7" s="1042" customFormat="1">
      <c r="B392" s="1056"/>
      <c r="C392" s="1056"/>
      <c r="D392" s="1056"/>
      <c r="E392" s="1056"/>
      <c r="F392" s="1056"/>
      <c r="G392" s="1056"/>
    </row>
    <row r="393" spans="2:7" s="1042" customFormat="1">
      <c r="B393" s="1056"/>
      <c r="C393" s="1056"/>
      <c r="D393" s="1056"/>
      <c r="E393" s="1056"/>
      <c r="F393" s="1056"/>
      <c r="G393" s="1056"/>
    </row>
    <row r="394" spans="2:7" s="1042" customFormat="1">
      <c r="B394" s="1056"/>
      <c r="C394" s="1056"/>
      <c r="D394" s="1056"/>
      <c r="E394" s="1056"/>
      <c r="F394" s="1056"/>
      <c r="G394" s="1056"/>
    </row>
    <row r="395" spans="2:7" s="1042" customFormat="1">
      <c r="B395" s="1056"/>
      <c r="C395" s="1056"/>
      <c r="D395" s="1056"/>
      <c r="E395" s="1056"/>
      <c r="F395" s="1056"/>
      <c r="G395" s="1056"/>
    </row>
    <row r="396" spans="2:7" s="1042" customFormat="1">
      <c r="B396" s="1056"/>
      <c r="C396" s="1056"/>
      <c r="D396" s="1056"/>
      <c r="E396" s="1056"/>
      <c r="F396" s="1056"/>
      <c r="G396" s="1056"/>
    </row>
    <row r="397" spans="2:7" s="1042" customFormat="1" ht="20.25" customHeight="1">
      <c r="B397" s="1056"/>
      <c r="C397" s="1056"/>
      <c r="D397" s="1056"/>
      <c r="E397" s="1056"/>
      <c r="F397" s="1056"/>
      <c r="G397" s="1056"/>
    </row>
    <row r="398" spans="2:7" s="1042" customFormat="1" ht="20.25" customHeight="1">
      <c r="B398" s="1056"/>
      <c r="C398" s="1056"/>
      <c r="D398" s="1056"/>
      <c r="E398" s="1056"/>
      <c r="F398" s="1056"/>
      <c r="G398" s="1056"/>
    </row>
    <row r="399" spans="2:7" s="1042" customFormat="1" ht="20.25" customHeight="1">
      <c r="B399" s="1056"/>
      <c r="C399" s="1056"/>
      <c r="D399" s="1056"/>
      <c r="E399" s="1056"/>
      <c r="F399" s="1056"/>
      <c r="G399" s="1056"/>
    </row>
    <row r="400" spans="2:7" s="1042" customFormat="1" ht="20.25" customHeight="1">
      <c r="B400" s="1056"/>
      <c r="C400" s="1056"/>
      <c r="D400" s="1056"/>
      <c r="E400" s="1056"/>
      <c r="F400" s="1056"/>
      <c r="G400" s="1056"/>
    </row>
    <row r="401" spans="2:7" s="1042" customFormat="1" ht="20.25" customHeight="1">
      <c r="B401" s="1056"/>
      <c r="C401" s="1056"/>
      <c r="D401" s="1056"/>
      <c r="E401" s="1056"/>
      <c r="F401" s="1056"/>
      <c r="G401" s="1056"/>
    </row>
    <row r="402" spans="2:7" s="1042" customFormat="1" ht="20.25" customHeight="1">
      <c r="B402" s="1056"/>
      <c r="C402" s="1056"/>
      <c r="D402" s="1056"/>
      <c r="E402" s="1056"/>
      <c r="F402" s="1056"/>
      <c r="G402" s="1056"/>
    </row>
    <row r="403" spans="2:7" s="1042" customFormat="1" ht="20.25" customHeight="1">
      <c r="B403" s="1056"/>
      <c r="C403" s="1056"/>
      <c r="D403" s="1056"/>
      <c r="E403" s="1056"/>
      <c r="F403" s="1056"/>
      <c r="G403" s="1056"/>
    </row>
    <row r="404" spans="2:7" ht="20.25" customHeight="1">
      <c r="B404" s="1032"/>
      <c r="C404" s="1032"/>
      <c r="D404" s="1032"/>
      <c r="E404" s="1032"/>
      <c r="F404" s="1032"/>
      <c r="G404" s="1032"/>
    </row>
    <row r="405" spans="2:7" ht="20.25" customHeight="1">
      <c r="B405" s="1032"/>
      <c r="C405" s="1032"/>
      <c r="D405" s="1032"/>
      <c r="E405" s="1032"/>
      <c r="F405" s="1032"/>
      <c r="G405" s="1032"/>
    </row>
    <row r="406" spans="2:7">
      <c r="B406" s="1032"/>
      <c r="C406" s="1032"/>
      <c r="D406" s="1032"/>
      <c r="E406" s="1032"/>
      <c r="F406" s="1032"/>
      <c r="G406" s="1032"/>
    </row>
    <row r="407" spans="2:7">
      <c r="B407" s="1032"/>
      <c r="C407" s="1032"/>
      <c r="D407" s="1032"/>
      <c r="E407" s="1032"/>
      <c r="F407" s="1032"/>
      <c r="G407" s="1032"/>
    </row>
    <row r="408" spans="2:7">
      <c r="B408" s="1032"/>
      <c r="C408" s="1032"/>
      <c r="D408" s="1032"/>
      <c r="E408" s="1032"/>
      <c r="F408" s="1032"/>
      <c r="G408" s="1032"/>
    </row>
    <row r="409" spans="2:7" ht="28.5" customHeight="1">
      <c r="B409" s="1122" t="s">
        <v>204</v>
      </c>
      <c r="C409" s="1122"/>
      <c r="D409" s="1122"/>
      <c r="E409" s="1122"/>
      <c r="F409" s="1122"/>
      <c r="G409" s="1031">
        <v>76</v>
      </c>
    </row>
  </sheetData>
  <mergeCells count="47">
    <mergeCell ref="B372:G372"/>
    <mergeCell ref="B373:C373"/>
    <mergeCell ref="B384:G384"/>
    <mergeCell ref="B409:F409"/>
    <mergeCell ref="B330:G330"/>
    <mergeCell ref="B331:C331"/>
    <mergeCell ref="B365:C365"/>
    <mergeCell ref="B366:G366"/>
    <mergeCell ref="B371:F371"/>
    <mergeCell ref="B383:C383"/>
    <mergeCell ref="B76:C76"/>
    <mergeCell ref="B156:E156"/>
    <mergeCell ref="B43:G43"/>
    <mergeCell ref="B44:C44"/>
    <mergeCell ref="B77:G77"/>
    <mergeCell ref="B85:F85"/>
    <mergeCell ref="B87:C87"/>
    <mergeCell ref="B127:F127"/>
    <mergeCell ref="B86:G86"/>
    <mergeCell ref="B126:E126"/>
    <mergeCell ref="B125:C125"/>
    <mergeCell ref="B128:G128"/>
    <mergeCell ref="B129:C129"/>
    <mergeCell ref="B155:C155"/>
    <mergeCell ref="B1:G1"/>
    <mergeCell ref="B40:G40"/>
    <mergeCell ref="B2:C2"/>
    <mergeCell ref="B42:F42"/>
    <mergeCell ref="B39:C39"/>
    <mergeCell ref="B329:F329"/>
    <mergeCell ref="B242:G242"/>
    <mergeCell ref="B248:G248"/>
    <mergeCell ref="B249:C249"/>
    <mergeCell ref="B289:F289"/>
    <mergeCell ref="B290:G290"/>
    <mergeCell ref="B247:F247"/>
    <mergeCell ref="B318:G318"/>
    <mergeCell ref="B291:C291"/>
    <mergeCell ref="B317:C317"/>
    <mergeCell ref="B211:C211"/>
    <mergeCell ref="B241:C241"/>
    <mergeCell ref="B205:C205"/>
    <mergeCell ref="B206:E206"/>
    <mergeCell ref="B170:G170"/>
    <mergeCell ref="B171:C171"/>
    <mergeCell ref="B209:F209"/>
    <mergeCell ref="B210:G21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AI49"/>
  <sheetViews>
    <sheetView rightToLeft="1" view="pageBreakPreview" zoomScaleSheetLayoutView="100" workbookViewId="0">
      <selection activeCell="P20" sqref="P20"/>
    </sheetView>
  </sheetViews>
  <sheetFormatPr defaultRowHeight="15"/>
  <cols>
    <col min="1" max="1" width="15" customWidth="1"/>
    <col min="2" max="2" width="11.5703125" customWidth="1"/>
    <col min="3" max="9" width="7.28515625" customWidth="1"/>
    <col min="10" max="10" width="1.140625" customWidth="1"/>
    <col min="11" max="15" width="7.28515625" customWidth="1"/>
    <col min="16" max="16" width="12.5703125" customWidth="1"/>
    <col min="17" max="17" width="12" bestFit="1" customWidth="1"/>
    <col min="18" max="18" width="7.5703125" customWidth="1"/>
    <col min="25" max="25" width="8" customWidth="1"/>
    <col min="31" max="32" width="9.140625" customWidth="1"/>
    <col min="33" max="33" width="10.42578125" bestFit="1" customWidth="1"/>
  </cols>
  <sheetData>
    <row r="1" spans="1:35" ht="28.5" customHeight="1">
      <c r="A1" s="1072" t="s">
        <v>538</v>
      </c>
      <c r="B1" s="1072"/>
      <c r="C1" s="1072"/>
      <c r="D1" s="1072"/>
      <c r="E1" s="1072"/>
      <c r="F1" s="1072"/>
      <c r="G1" s="1072"/>
      <c r="H1" s="1072"/>
      <c r="I1" s="1072"/>
      <c r="J1" s="1072"/>
      <c r="K1" s="1072"/>
      <c r="L1" s="1072"/>
      <c r="M1" s="1072"/>
      <c r="N1" s="1072"/>
      <c r="O1" s="1072"/>
      <c r="P1" s="1072"/>
      <c r="Y1">
        <v>44.99</v>
      </c>
      <c r="Z1">
        <f>Y1*86/100</f>
        <v>38.691400000000002</v>
      </c>
    </row>
    <row r="2" spans="1:35" ht="30" customHeight="1" thickBot="1">
      <c r="A2" s="1109" t="s">
        <v>358</v>
      </c>
      <c r="B2" s="1109"/>
      <c r="C2" s="1110"/>
      <c r="D2" s="1110"/>
      <c r="E2" s="1110"/>
      <c r="F2" s="1110"/>
      <c r="G2" s="1110"/>
      <c r="H2" s="1110"/>
      <c r="I2" s="1110"/>
      <c r="J2" s="1110"/>
      <c r="K2" s="1110"/>
      <c r="L2" s="1110"/>
      <c r="M2" s="1110"/>
      <c r="N2" s="1110"/>
      <c r="O2" s="1110"/>
      <c r="P2" s="1110"/>
    </row>
    <row r="3" spans="1:35" ht="31.5" customHeight="1" thickTop="1">
      <c r="A3" s="1068" t="s">
        <v>0</v>
      </c>
      <c r="B3" s="1068" t="s">
        <v>1</v>
      </c>
      <c r="C3" s="1111" t="s">
        <v>216</v>
      </c>
      <c r="D3" s="1111"/>
      <c r="E3" s="1111"/>
      <c r="F3" s="1111"/>
      <c r="G3" s="1111"/>
      <c r="H3" s="1111"/>
      <c r="I3" s="1111"/>
      <c r="J3" s="169"/>
      <c r="K3" s="1111" t="s">
        <v>217</v>
      </c>
      <c r="L3" s="1111"/>
      <c r="M3" s="1111"/>
      <c r="N3" s="1111"/>
      <c r="O3" s="1111"/>
      <c r="P3" s="1068" t="s">
        <v>508</v>
      </c>
    </row>
    <row r="4" spans="1:35" ht="26.25" customHeight="1">
      <c r="A4" s="1069"/>
      <c r="B4" s="1069"/>
      <c r="C4" s="153" t="s">
        <v>7</v>
      </c>
      <c r="D4" s="153" t="s">
        <v>8</v>
      </c>
      <c r="E4" s="153" t="s">
        <v>9</v>
      </c>
      <c r="F4" s="153" t="s">
        <v>10</v>
      </c>
      <c r="G4" s="153" t="s">
        <v>18</v>
      </c>
      <c r="H4" s="153" t="s">
        <v>12</v>
      </c>
      <c r="I4" s="153" t="s">
        <v>13</v>
      </c>
      <c r="J4" s="172"/>
      <c r="K4" s="153" t="s">
        <v>14</v>
      </c>
      <c r="L4" s="153" t="s">
        <v>15</v>
      </c>
      <c r="M4" s="153" t="s">
        <v>19</v>
      </c>
      <c r="N4" s="153" t="s">
        <v>17</v>
      </c>
      <c r="O4" s="153" t="s">
        <v>171</v>
      </c>
      <c r="P4" s="1069"/>
      <c r="AE4" t="s">
        <v>192</v>
      </c>
      <c r="AG4" t="s">
        <v>291</v>
      </c>
      <c r="AH4" t="s">
        <v>193</v>
      </c>
    </row>
    <row r="5" spans="1:35" ht="27.75" customHeight="1">
      <c r="A5" s="1076" t="s">
        <v>20</v>
      </c>
      <c r="B5" s="1002" t="s">
        <v>449</v>
      </c>
      <c r="C5" s="1003">
        <v>777</v>
      </c>
      <c r="D5" s="1003">
        <v>652</v>
      </c>
      <c r="E5" s="1003">
        <v>747</v>
      </c>
      <c r="F5" s="1003">
        <v>632</v>
      </c>
      <c r="G5" s="1003">
        <v>817</v>
      </c>
      <c r="H5" s="1003">
        <v>601</v>
      </c>
      <c r="I5" s="1003">
        <v>635</v>
      </c>
      <c r="J5" s="1003"/>
      <c r="K5" s="1003">
        <v>759</v>
      </c>
      <c r="L5" s="1003">
        <v>807</v>
      </c>
      <c r="M5" s="1003">
        <v>831</v>
      </c>
      <c r="N5" s="1003">
        <v>713</v>
      </c>
      <c r="O5" s="1003">
        <v>650</v>
      </c>
      <c r="P5" s="126">
        <v>22.66</v>
      </c>
      <c r="R5" s="717">
        <v>678</v>
      </c>
      <c r="S5" s="717">
        <v>595</v>
      </c>
      <c r="T5" s="717">
        <v>536</v>
      </c>
      <c r="U5" s="717">
        <v>566</v>
      </c>
      <c r="V5" s="717">
        <v>661</v>
      </c>
      <c r="W5" s="717">
        <v>634</v>
      </c>
      <c r="X5" s="717">
        <v>589</v>
      </c>
      <c r="Y5" s="717"/>
      <c r="Z5" s="717">
        <v>618</v>
      </c>
      <c r="AA5" s="717">
        <v>640</v>
      </c>
      <c r="AB5" s="717">
        <v>642</v>
      </c>
      <c r="AC5" s="717">
        <v>588</v>
      </c>
      <c r="AD5" s="717">
        <v>557</v>
      </c>
      <c r="AE5">
        <f t="shared" ref="AE5:AE14" si="0">SUM(R5:AD5)</f>
        <v>7304</v>
      </c>
      <c r="AF5">
        <f>AE5*60*60*24*365</f>
        <v>230338944000</v>
      </c>
      <c r="AG5">
        <f>AF5/1000000000</f>
        <v>230.338944</v>
      </c>
      <c r="AH5" s="8">
        <f>AG5/12</f>
        <v>19.194911999999999</v>
      </c>
    </row>
    <row r="6" spans="1:35" ht="27.75" customHeight="1">
      <c r="A6" s="1103"/>
      <c r="B6" s="1004" t="s">
        <v>539</v>
      </c>
      <c r="C6" s="717">
        <v>678</v>
      </c>
      <c r="D6" s="717">
        <v>595</v>
      </c>
      <c r="E6" s="717">
        <v>536</v>
      </c>
      <c r="F6" s="717">
        <v>566</v>
      </c>
      <c r="G6" s="717">
        <v>661</v>
      </c>
      <c r="H6" s="717">
        <v>634</v>
      </c>
      <c r="I6" s="717">
        <v>589</v>
      </c>
      <c r="J6" s="717"/>
      <c r="K6" s="717">
        <v>618</v>
      </c>
      <c r="L6" s="717">
        <v>640</v>
      </c>
      <c r="M6" s="717">
        <v>642</v>
      </c>
      <c r="N6" s="717">
        <v>588</v>
      </c>
      <c r="O6" s="717">
        <v>557</v>
      </c>
      <c r="P6" s="52">
        <v>19.190000000000001</v>
      </c>
      <c r="R6" s="717">
        <v>777</v>
      </c>
      <c r="S6" s="717">
        <v>652</v>
      </c>
      <c r="T6" s="717">
        <v>747</v>
      </c>
      <c r="U6" s="717">
        <v>632</v>
      </c>
      <c r="V6" s="717">
        <v>817</v>
      </c>
      <c r="W6" s="717">
        <v>601</v>
      </c>
      <c r="X6" s="717">
        <v>635</v>
      </c>
      <c r="Y6" s="717"/>
      <c r="Z6" s="717">
        <v>759</v>
      </c>
      <c r="AA6" s="717">
        <v>807</v>
      </c>
      <c r="AB6" s="717">
        <v>831</v>
      </c>
      <c r="AC6" s="717">
        <v>713</v>
      </c>
      <c r="AD6" s="717">
        <v>650</v>
      </c>
      <c r="AE6" s="8">
        <f t="shared" si="0"/>
        <v>8621</v>
      </c>
      <c r="AF6">
        <f t="shared" ref="AF6:AF14" si="1">AE6*60*60*24*365</f>
        <v>271871856000</v>
      </c>
      <c r="AG6">
        <f t="shared" ref="AG6:AG14" si="2">AF6/1000000000</f>
        <v>271.87185599999998</v>
      </c>
      <c r="AH6" s="8">
        <f t="shared" ref="AH6:AH14" si="3">AG6/12</f>
        <v>22.655987999999997</v>
      </c>
    </row>
    <row r="7" spans="1:35" ht="27.75" customHeight="1">
      <c r="A7" s="1076" t="s">
        <v>21</v>
      </c>
      <c r="B7" s="1002" t="s">
        <v>449</v>
      </c>
      <c r="C7" s="1003">
        <v>575</v>
      </c>
      <c r="D7" s="1003">
        <v>442</v>
      </c>
      <c r="E7" s="1003">
        <v>482</v>
      </c>
      <c r="F7" s="1003">
        <v>426</v>
      </c>
      <c r="G7" s="1003">
        <v>587</v>
      </c>
      <c r="H7" s="1003">
        <v>450</v>
      </c>
      <c r="I7" s="1003">
        <v>479</v>
      </c>
      <c r="J7" s="1003"/>
      <c r="K7" s="1003">
        <v>736</v>
      </c>
      <c r="L7" s="1003">
        <v>786</v>
      </c>
      <c r="M7" s="1003">
        <v>755</v>
      </c>
      <c r="N7" s="1003">
        <v>706</v>
      </c>
      <c r="O7" s="1003">
        <v>635</v>
      </c>
      <c r="P7" s="126">
        <v>18.55</v>
      </c>
      <c r="R7" s="717">
        <v>479</v>
      </c>
      <c r="S7" s="717">
        <v>443</v>
      </c>
      <c r="T7" s="717">
        <v>389</v>
      </c>
      <c r="U7" s="717">
        <v>419</v>
      </c>
      <c r="V7" s="717">
        <v>450</v>
      </c>
      <c r="W7" s="717">
        <v>406</v>
      </c>
      <c r="X7" s="717">
        <v>356</v>
      </c>
      <c r="Y7" s="717"/>
      <c r="Z7" s="717">
        <v>415</v>
      </c>
      <c r="AA7" s="717">
        <v>432</v>
      </c>
      <c r="AB7" s="717">
        <v>414</v>
      </c>
      <c r="AC7" s="717">
        <v>415</v>
      </c>
      <c r="AD7" s="717">
        <v>392</v>
      </c>
      <c r="AE7">
        <f t="shared" si="0"/>
        <v>5010</v>
      </c>
      <c r="AF7">
        <f t="shared" si="1"/>
        <v>157995360000</v>
      </c>
      <c r="AG7">
        <f t="shared" si="2"/>
        <v>157.99536000000001</v>
      </c>
      <c r="AH7" s="8">
        <f t="shared" si="3"/>
        <v>13.16628</v>
      </c>
    </row>
    <row r="8" spans="1:35" ht="27.75" customHeight="1">
      <c r="A8" s="1103"/>
      <c r="B8" s="1004" t="s">
        <v>539</v>
      </c>
      <c r="C8" s="717">
        <v>479</v>
      </c>
      <c r="D8" s="717">
        <v>443</v>
      </c>
      <c r="E8" s="717">
        <v>389</v>
      </c>
      <c r="F8" s="717">
        <v>419</v>
      </c>
      <c r="G8" s="717">
        <v>450</v>
      </c>
      <c r="H8" s="717">
        <v>406</v>
      </c>
      <c r="I8" s="717">
        <v>356</v>
      </c>
      <c r="J8" s="717"/>
      <c r="K8" s="717">
        <v>415</v>
      </c>
      <c r="L8" s="717">
        <v>432</v>
      </c>
      <c r="M8" s="717">
        <v>414</v>
      </c>
      <c r="N8" s="717">
        <v>415</v>
      </c>
      <c r="O8" s="717">
        <v>392</v>
      </c>
      <c r="P8" s="52">
        <v>13.17</v>
      </c>
      <c r="R8" s="717">
        <v>575</v>
      </c>
      <c r="S8" s="717">
        <v>442</v>
      </c>
      <c r="T8" s="717">
        <v>482</v>
      </c>
      <c r="U8" s="717">
        <v>426</v>
      </c>
      <c r="V8" s="717">
        <v>587</v>
      </c>
      <c r="W8" s="717">
        <v>450</v>
      </c>
      <c r="X8" s="717">
        <v>479</v>
      </c>
      <c r="Y8" s="717"/>
      <c r="Z8" s="717">
        <v>736</v>
      </c>
      <c r="AA8" s="717">
        <v>786</v>
      </c>
      <c r="AB8" s="717">
        <v>755</v>
      </c>
      <c r="AC8" s="717">
        <v>706</v>
      </c>
      <c r="AD8" s="717">
        <v>635</v>
      </c>
      <c r="AE8" s="8">
        <f t="shared" si="0"/>
        <v>7059</v>
      </c>
      <c r="AF8">
        <f t="shared" si="1"/>
        <v>222612624000</v>
      </c>
      <c r="AG8">
        <f t="shared" si="2"/>
        <v>222.61262400000001</v>
      </c>
      <c r="AH8" s="8">
        <f t="shared" si="3"/>
        <v>18.551052000000002</v>
      </c>
      <c r="AI8" s="8"/>
    </row>
    <row r="9" spans="1:35" ht="27.75" customHeight="1">
      <c r="A9" s="1104" t="s">
        <v>22</v>
      </c>
      <c r="B9" s="1002" t="s">
        <v>449</v>
      </c>
      <c r="C9" s="1003">
        <v>57</v>
      </c>
      <c r="D9" s="1003">
        <v>60</v>
      </c>
      <c r="E9" s="1003">
        <v>60</v>
      </c>
      <c r="F9" s="1003">
        <v>44</v>
      </c>
      <c r="G9" s="1003">
        <v>58</v>
      </c>
      <c r="H9" s="1003">
        <v>64</v>
      </c>
      <c r="I9" s="1003">
        <v>55</v>
      </c>
      <c r="J9" s="1003"/>
      <c r="K9" s="1003">
        <v>56</v>
      </c>
      <c r="L9" s="1003">
        <v>55</v>
      </c>
      <c r="M9" s="1003">
        <v>55</v>
      </c>
      <c r="N9" s="1003">
        <v>55</v>
      </c>
      <c r="O9" s="1003">
        <v>52</v>
      </c>
      <c r="P9" s="126">
        <v>1.76</v>
      </c>
      <c r="R9" s="717">
        <v>50</v>
      </c>
      <c r="S9" s="717">
        <v>50</v>
      </c>
      <c r="T9" s="717">
        <v>47</v>
      </c>
      <c r="U9" s="717">
        <v>46</v>
      </c>
      <c r="V9" s="717">
        <v>50</v>
      </c>
      <c r="W9" s="717">
        <v>56</v>
      </c>
      <c r="X9" s="717">
        <v>50</v>
      </c>
      <c r="Y9" s="717"/>
      <c r="Z9" s="717">
        <v>50</v>
      </c>
      <c r="AA9" s="717">
        <v>50</v>
      </c>
      <c r="AB9" s="717">
        <v>50</v>
      </c>
      <c r="AC9" s="717">
        <v>50</v>
      </c>
      <c r="AD9" s="717">
        <v>41</v>
      </c>
      <c r="AE9">
        <f t="shared" si="0"/>
        <v>590</v>
      </c>
      <c r="AF9">
        <f t="shared" si="1"/>
        <v>18606240000</v>
      </c>
      <c r="AG9">
        <f t="shared" si="2"/>
        <v>18.60624</v>
      </c>
      <c r="AH9" s="8">
        <f t="shared" si="3"/>
        <v>1.5505199999999999</v>
      </c>
    </row>
    <row r="10" spans="1:35" ht="27.75" customHeight="1">
      <c r="A10" s="1102"/>
      <c r="B10" s="1004" t="s">
        <v>539</v>
      </c>
      <c r="C10" s="717">
        <v>50</v>
      </c>
      <c r="D10" s="717">
        <v>50</v>
      </c>
      <c r="E10" s="717">
        <v>47</v>
      </c>
      <c r="F10" s="717">
        <v>46</v>
      </c>
      <c r="G10" s="717">
        <v>50</v>
      </c>
      <c r="H10" s="717">
        <v>56</v>
      </c>
      <c r="I10" s="717">
        <v>50</v>
      </c>
      <c r="J10" s="717"/>
      <c r="K10" s="717">
        <v>50</v>
      </c>
      <c r="L10" s="717">
        <v>50</v>
      </c>
      <c r="M10" s="717">
        <v>50</v>
      </c>
      <c r="N10" s="717">
        <v>50</v>
      </c>
      <c r="O10" s="717">
        <v>41</v>
      </c>
      <c r="P10" s="52">
        <v>1.55</v>
      </c>
      <c r="R10" s="717">
        <v>57</v>
      </c>
      <c r="S10" s="717">
        <v>60</v>
      </c>
      <c r="T10" s="717">
        <v>60</v>
      </c>
      <c r="U10" s="717">
        <v>44</v>
      </c>
      <c r="V10" s="717">
        <v>58</v>
      </c>
      <c r="W10" s="717">
        <v>64</v>
      </c>
      <c r="X10" s="717">
        <v>55</v>
      </c>
      <c r="Y10" s="717"/>
      <c r="Z10" s="717">
        <v>56</v>
      </c>
      <c r="AA10" s="717">
        <v>55</v>
      </c>
      <c r="AB10" s="717">
        <v>55</v>
      </c>
      <c r="AC10" s="717">
        <v>55</v>
      </c>
      <c r="AD10" s="717">
        <v>52</v>
      </c>
      <c r="AE10" s="8">
        <f t="shared" si="0"/>
        <v>671</v>
      </c>
      <c r="AF10">
        <f t="shared" si="1"/>
        <v>21160656000</v>
      </c>
      <c r="AG10">
        <f t="shared" si="2"/>
        <v>21.160655999999999</v>
      </c>
      <c r="AH10" s="8">
        <f t="shared" si="3"/>
        <v>1.763388</v>
      </c>
    </row>
    <row r="11" spans="1:35" ht="27.75" customHeight="1">
      <c r="A11" s="1076" t="s">
        <v>196</v>
      </c>
      <c r="B11" s="1002" t="s">
        <v>449</v>
      </c>
      <c r="C11" s="1003">
        <v>20</v>
      </c>
      <c r="D11" s="1003">
        <v>23</v>
      </c>
      <c r="E11" s="1003">
        <v>28</v>
      </c>
      <c r="F11" s="1003">
        <v>30</v>
      </c>
      <c r="G11" s="1003">
        <v>30</v>
      </c>
      <c r="H11" s="1003">
        <v>28</v>
      </c>
      <c r="I11" s="1003">
        <v>20</v>
      </c>
      <c r="J11" s="1003"/>
      <c r="K11" s="1003">
        <v>14</v>
      </c>
      <c r="L11" s="1003">
        <v>10</v>
      </c>
      <c r="M11" s="1003">
        <v>10</v>
      </c>
      <c r="N11" s="1003">
        <v>10</v>
      </c>
      <c r="O11" s="1003">
        <v>10</v>
      </c>
      <c r="P11" s="126">
        <v>0.61</v>
      </c>
      <c r="R11" s="717">
        <v>10</v>
      </c>
      <c r="S11" s="717">
        <v>10</v>
      </c>
      <c r="T11" s="717">
        <v>10</v>
      </c>
      <c r="U11" s="717">
        <v>11</v>
      </c>
      <c r="V11" s="717">
        <v>14</v>
      </c>
      <c r="W11" s="717">
        <v>20</v>
      </c>
      <c r="X11" s="717">
        <v>11</v>
      </c>
      <c r="Y11" s="717"/>
      <c r="Z11" s="717">
        <v>9</v>
      </c>
      <c r="AA11" s="717">
        <v>9</v>
      </c>
      <c r="AB11" s="717">
        <v>9</v>
      </c>
      <c r="AC11" s="717">
        <v>9</v>
      </c>
      <c r="AD11" s="717">
        <v>9</v>
      </c>
      <c r="AE11">
        <f t="shared" si="0"/>
        <v>131</v>
      </c>
      <c r="AF11">
        <f t="shared" si="1"/>
        <v>4131216000</v>
      </c>
      <c r="AG11">
        <f t="shared" si="2"/>
        <v>4.1312160000000002</v>
      </c>
      <c r="AH11" s="8">
        <f t="shared" si="3"/>
        <v>0.34426800000000002</v>
      </c>
    </row>
    <row r="12" spans="1:35" ht="27.75" customHeight="1">
      <c r="A12" s="1103"/>
      <c r="B12" s="1004" t="s">
        <v>539</v>
      </c>
      <c r="C12" s="717">
        <v>10</v>
      </c>
      <c r="D12" s="717">
        <v>10</v>
      </c>
      <c r="E12" s="717">
        <v>10</v>
      </c>
      <c r="F12" s="717">
        <v>11</v>
      </c>
      <c r="G12" s="717">
        <v>14</v>
      </c>
      <c r="H12" s="717">
        <v>20</v>
      </c>
      <c r="I12" s="717">
        <v>11</v>
      </c>
      <c r="J12" s="717"/>
      <c r="K12" s="717">
        <v>9</v>
      </c>
      <c r="L12" s="717">
        <v>9</v>
      </c>
      <c r="M12" s="717">
        <v>9</v>
      </c>
      <c r="N12" s="717">
        <v>9</v>
      </c>
      <c r="O12" s="717">
        <v>9</v>
      </c>
      <c r="P12" s="52">
        <v>0.34</v>
      </c>
      <c r="R12" s="717">
        <v>20</v>
      </c>
      <c r="S12" s="717">
        <v>23</v>
      </c>
      <c r="T12" s="717">
        <v>28</v>
      </c>
      <c r="U12" s="717">
        <v>30</v>
      </c>
      <c r="V12" s="717">
        <v>30</v>
      </c>
      <c r="W12" s="717">
        <v>28</v>
      </c>
      <c r="X12" s="717">
        <v>20</v>
      </c>
      <c r="Y12" s="717"/>
      <c r="Z12" s="717">
        <v>14</v>
      </c>
      <c r="AA12" s="717">
        <v>10</v>
      </c>
      <c r="AB12" s="717">
        <v>10</v>
      </c>
      <c r="AC12" s="717">
        <v>10</v>
      </c>
      <c r="AD12" s="717">
        <v>10</v>
      </c>
      <c r="AE12" s="8">
        <f t="shared" si="0"/>
        <v>233</v>
      </c>
      <c r="AF12">
        <f t="shared" si="1"/>
        <v>7347888000</v>
      </c>
      <c r="AG12">
        <f t="shared" si="2"/>
        <v>7.3478880000000002</v>
      </c>
      <c r="AH12" s="8">
        <f t="shared" si="3"/>
        <v>0.61232399999999998</v>
      </c>
    </row>
    <row r="13" spans="1:35" ht="27.75" customHeight="1" thickBot="1">
      <c r="A13" s="1105" t="s">
        <v>223</v>
      </c>
      <c r="B13" s="1002" t="s">
        <v>449</v>
      </c>
      <c r="C13" s="1003">
        <v>71</v>
      </c>
      <c r="D13" s="1003">
        <v>75</v>
      </c>
      <c r="E13" s="1003">
        <v>72</v>
      </c>
      <c r="F13" s="1003">
        <v>41</v>
      </c>
      <c r="G13" s="1003">
        <v>67</v>
      </c>
      <c r="H13" s="1003">
        <v>41</v>
      </c>
      <c r="I13" s="1003">
        <v>30</v>
      </c>
      <c r="J13" s="1003"/>
      <c r="K13" s="1003">
        <v>30</v>
      </c>
      <c r="L13" s="1003">
        <v>30</v>
      </c>
      <c r="M13" s="1003">
        <v>34</v>
      </c>
      <c r="N13" s="1003">
        <v>33</v>
      </c>
      <c r="O13" s="1003">
        <v>30</v>
      </c>
      <c r="P13" s="126">
        <v>1.46</v>
      </c>
      <c r="R13" s="909">
        <v>30</v>
      </c>
      <c r="S13" s="909">
        <v>30</v>
      </c>
      <c r="T13" s="909">
        <v>25</v>
      </c>
      <c r="U13" s="909">
        <v>25</v>
      </c>
      <c r="V13" s="909">
        <v>28</v>
      </c>
      <c r="W13" s="909">
        <v>31</v>
      </c>
      <c r="X13" s="909">
        <v>25</v>
      </c>
      <c r="Y13" s="909"/>
      <c r="Z13" s="909">
        <v>26</v>
      </c>
      <c r="AA13" s="909">
        <v>34</v>
      </c>
      <c r="AB13" s="909">
        <v>35</v>
      </c>
      <c r="AC13" s="909">
        <v>33</v>
      </c>
      <c r="AD13" s="909">
        <v>30</v>
      </c>
      <c r="AE13">
        <f t="shared" si="0"/>
        <v>352</v>
      </c>
      <c r="AF13">
        <f t="shared" si="1"/>
        <v>11100672000</v>
      </c>
      <c r="AG13">
        <f t="shared" si="2"/>
        <v>11.100671999999999</v>
      </c>
      <c r="AH13" s="8">
        <f t="shared" si="3"/>
        <v>0.92505599999999999</v>
      </c>
    </row>
    <row r="14" spans="1:35" ht="27.75" customHeight="1" thickTop="1" thickBot="1">
      <c r="A14" s="1107"/>
      <c r="B14" s="1005" t="s">
        <v>539</v>
      </c>
      <c r="C14" s="718">
        <v>30</v>
      </c>
      <c r="D14" s="718">
        <v>30</v>
      </c>
      <c r="E14" s="718">
        <v>25</v>
      </c>
      <c r="F14" s="718">
        <v>25</v>
      </c>
      <c r="G14" s="718">
        <v>28</v>
      </c>
      <c r="H14" s="718">
        <v>31</v>
      </c>
      <c r="I14" s="718">
        <v>25</v>
      </c>
      <c r="J14" s="718"/>
      <c r="K14" s="718">
        <v>26</v>
      </c>
      <c r="L14" s="718">
        <v>34</v>
      </c>
      <c r="M14" s="718">
        <v>35</v>
      </c>
      <c r="N14" s="718">
        <v>33</v>
      </c>
      <c r="O14" s="718">
        <v>30</v>
      </c>
      <c r="P14" s="127">
        <v>0.93</v>
      </c>
      <c r="R14" s="718">
        <v>71</v>
      </c>
      <c r="S14" s="718">
        <v>75</v>
      </c>
      <c r="T14" s="718">
        <v>72</v>
      </c>
      <c r="U14" s="718">
        <v>41</v>
      </c>
      <c r="V14" s="718">
        <v>67</v>
      </c>
      <c r="W14" s="718">
        <v>41</v>
      </c>
      <c r="X14" s="718">
        <v>30</v>
      </c>
      <c r="Y14" s="718"/>
      <c r="Z14" s="718">
        <v>30</v>
      </c>
      <c r="AA14" s="718">
        <v>30</v>
      </c>
      <c r="AB14" s="718">
        <v>34</v>
      </c>
      <c r="AC14" s="718">
        <v>33</v>
      </c>
      <c r="AD14" s="718">
        <v>30</v>
      </c>
      <c r="AE14" s="8">
        <f t="shared" si="0"/>
        <v>554</v>
      </c>
      <c r="AF14">
        <f t="shared" si="1"/>
        <v>17470944000</v>
      </c>
      <c r="AG14">
        <f t="shared" si="2"/>
        <v>17.470943999999999</v>
      </c>
      <c r="AH14" s="8">
        <f t="shared" si="3"/>
        <v>1.4559119999999999</v>
      </c>
    </row>
    <row r="15" spans="1:35" ht="24.75" customHeight="1" thickTop="1">
      <c r="A15" s="1075" t="s">
        <v>4</v>
      </c>
      <c r="B15" s="1075"/>
      <c r="C15" s="1075"/>
      <c r="D15" s="1075"/>
      <c r="E15" s="1075"/>
      <c r="F15" s="1075"/>
      <c r="G15" s="1075"/>
      <c r="H15" s="1075"/>
      <c r="I15" s="1075"/>
      <c r="J15" s="1075"/>
      <c r="K15" s="1075"/>
      <c r="L15" s="96"/>
      <c r="M15" s="96"/>
      <c r="N15" s="96"/>
      <c r="O15" s="96"/>
      <c r="P15" s="96"/>
      <c r="R15" s="8"/>
      <c r="S15" s="8"/>
      <c r="T15" s="8"/>
      <c r="U15" s="8"/>
      <c r="V15" s="8"/>
      <c r="W15" s="8"/>
      <c r="X15" s="8"/>
      <c r="Y15" s="8"/>
      <c r="Z15" s="8"/>
      <c r="AA15" s="8"/>
      <c r="AB15" s="8"/>
      <c r="AC15" s="8"/>
      <c r="AD15" s="8"/>
      <c r="AE15" s="8"/>
      <c r="AF15" s="8"/>
    </row>
    <row r="16" spans="1:35" ht="24.75" customHeight="1">
      <c r="A16" s="1075"/>
      <c r="B16" s="1075"/>
      <c r="C16" s="1075"/>
      <c r="D16" s="1075"/>
      <c r="E16" s="1075"/>
      <c r="F16" s="1075"/>
      <c r="G16" s="1075"/>
      <c r="H16" s="1075"/>
      <c r="I16" s="1075"/>
      <c r="J16" s="1075"/>
      <c r="K16" s="1075"/>
      <c r="L16" s="9"/>
      <c r="M16" s="9"/>
      <c r="N16" s="9"/>
      <c r="O16" s="9"/>
      <c r="P16" s="11"/>
      <c r="R16" s="50"/>
      <c r="S16" s="50"/>
      <c r="T16" s="50"/>
      <c r="U16" s="50"/>
      <c r="V16" s="50"/>
      <c r="W16" s="50"/>
      <c r="X16" s="50"/>
      <c r="Y16" s="50"/>
      <c r="Z16" s="50"/>
      <c r="AA16" s="50"/>
      <c r="AB16" s="50"/>
      <c r="AC16" s="50"/>
      <c r="AD16" s="50"/>
    </row>
    <row r="17" spans="1:34" ht="17.25" customHeight="1">
      <c r="A17" s="403"/>
      <c r="B17" s="403"/>
      <c r="C17" s="403"/>
      <c r="D17" s="403"/>
      <c r="E17" s="403"/>
      <c r="F17" s="403"/>
      <c r="G17" s="403"/>
      <c r="H17" s="403"/>
      <c r="I17" s="403"/>
      <c r="J17" s="403"/>
      <c r="K17" s="9"/>
      <c r="L17" s="9"/>
      <c r="M17" s="9"/>
      <c r="N17" s="9"/>
      <c r="O17" s="9"/>
      <c r="P17" s="11"/>
      <c r="R17" s="8"/>
      <c r="S17" s="8"/>
      <c r="T17" s="8"/>
      <c r="U17" s="8"/>
      <c r="V17" s="8"/>
      <c r="W17" s="8"/>
      <c r="X17" s="8"/>
      <c r="Y17" s="8"/>
      <c r="Z17" s="8"/>
      <c r="AA17" s="8"/>
      <c r="AB17" s="8"/>
      <c r="AC17" s="8"/>
      <c r="AD17" s="8"/>
      <c r="AE17" s="8"/>
      <c r="AF17" s="8"/>
      <c r="AG17" s="8"/>
    </row>
    <row r="18" spans="1:34" ht="24.75" customHeight="1">
      <c r="A18" s="9"/>
      <c r="B18" s="9"/>
      <c r="C18" s="9"/>
      <c r="D18" s="9"/>
      <c r="E18" s="9"/>
      <c r="F18" s="9"/>
      <c r="G18" s="9"/>
      <c r="H18" s="9"/>
      <c r="I18" s="9"/>
      <c r="J18" s="9"/>
      <c r="K18" s="9"/>
      <c r="L18" s="9"/>
      <c r="M18" s="9"/>
      <c r="N18" s="9"/>
      <c r="O18" s="9"/>
      <c r="P18" s="9"/>
      <c r="R18" s="50"/>
      <c r="S18" s="50"/>
      <c r="T18" s="50"/>
      <c r="U18" s="50"/>
      <c r="V18" s="50"/>
      <c r="W18" s="50"/>
      <c r="X18" s="50"/>
      <c r="Y18" s="50"/>
      <c r="Z18" s="50"/>
      <c r="AA18" s="50"/>
      <c r="AB18" s="50"/>
      <c r="AC18" s="50"/>
      <c r="AD18" s="50"/>
    </row>
    <row r="19" spans="1:34" ht="24.75" customHeight="1">
      <c r="A19" s="9"/>
      <c r="B19" s="9"/>
      <c r="C19" s="9"/>
      <c r="D19" s="9"/>
      <c r="E19" s="9"/>
      <c r="F19" s="9"/>
      <c r="G19" s="9"/>
      <c r="H19" s="9"/>
      <c r="I19" s="9"/>
      <c r="J19" s="9"/>
      <c r="K19" s="9"/>
      <c r="L19" s="9"/>
      <c r="M19" s="9"/>
      <c r="N19" s="9"/>
      <c r="O19" s="9"/>
      <c r="P19" s="9"/>
      <c r="Q19" s="12"/>
      <c r="R19" s="8"/>
      <c r="S19" s="8"/>
      <c r="T19" s="8"/>
      <c r="U19" s="8"/>
      <c r="V19" s="8"/>
      <c r="W19" s="8"/>
      <c r="X19" s="8"/>
      <c r="Y19" s="8"/>
      <c r="Z19" s="8"/>
      <c r="AA19" s="8"/>
      <c r="AB19" s="8"/>
      <c r="AC19" s="8"/>
      <c r="AD19" s="8"/>
      <c r="AE19" s="8"/>
      <c r="AF19" s="8"/>
      <c r="AG19">
        <f>AE19/1000000000</f>
        <v>0</v>
      </c>
      <c r="AH19">
        <f>AG19/12</f>
        <v>0</v>
      </c>
    </row>
    <row r="20" spans="1:34" ht="24.75" customHeight="1">
      <c r="A20" s="1088" t="s">
        <v>204</v>
      </c>
      <c r="B20" s="1088"/>
      <c r="C20" s="1088"/>
      <c r="D20" s="1088"/>
      <c r="E20" s="92"/>
      <c r="F20" s="92"/>
      <c r="G20" s="1108"/>
      <c r="H20" s="1108"/>
      <c r="I20" s="1108"/>
      <c r="J20" s="167"/>
      <c r="K20" s="92"/>
      <c r="L20" s="92"/>
      <c r="M20" s="92"/>
      <c r="N20" s="92"/>
      <c r="O20" s="92"/>
      <c r="P20" s="630">
        <v>24</v>
      </c>
      <c r="Q20" s="13"/>
      <c r="R20" s="125"/>
      <c r="S20" s="125"/>
      <c r="T20" s="125"/>
      <c r="U20" s="125"/>
      <c r="V20" s="125"/>
      <c r="W20" s="125"/>
      <c r="X20" s="125"/>
      <c r="Y20" s="125"/>
      <c r="Z20" s="125"/>
      <c r="AA20" s="125"/>
      <c r="AB20" s="125"/>
      <c r="AC20" s="125"/>
      <c r="AD20" s="269"/>
      <c r="AE20" s="5"/>
      <c r="AF20" s="376"/>
      <c r="AH20" s="7"/>
    </row>
    <row r="21" spans="1:34">
      <c r="R21" s="8"/>
      <c r="S21" s="8"/>
      <c r="T21" s="8"/>
      <c r="U21" s="8"/>
      <c r="V21" s="8"/>
      <c r="W21" s="8"/>
      <c r="X21" s="8"/>
      <c r="Y21" s="8"/>
      <c r="Z21" s="8"/>
      <c r="AA21" s="8"/>
      <c r="AB21" s="8"/>
      <c r="AC21" s="8"/>
      <c r="AD21" s="8"/>
      <c r="AE21" s="8"/>
      <c r="AF21" s="8"/>
      <c r="AG21" s="8">
        <f>AE21/1000000000</f>
        <v>0</v>
      </c>
      <c r="AH21">
        <f>AG21/12</f>
        <v>0</v>
      </c>
    </row>
    <row r="22" spans="1:34" ht="15.75" thickBot="1">
      <c r="R22" s="51"/>
      <c r="S22" s="51"/>
      <c r="T22" s="51"/>
      <c r="U22" s="51"/>
      <c r="V22" s="51"/>
      <c r="W22" s="51"/>
      <c r="X22" s="51"/>
      <c r="Y22" s="51"/>
      <c r="Z22" s="51"/>
      <c r="AA22" s="51"/>
      <c r="AB22" s="51"/>
      <c r="AC22" s="51"/>
      <c r="AD22" s="51"/>
    </row>
    <row r="23" spans="1:34" ht="15.75" thickTop="1">
      <c r="G23" s="8">
        <f>P6+P7+P9+P11+P13</f>
        <v>41.57</v>
      </c>
      <c r="K23" s="8">
        <f>P6+P8+P10+P12+P14</f>
        <v>35.18</v>
      </c>
      <c r="R23" s="8"/>
      <c r="S23" s="8"/>
      <c r="T23" s="8"/>
      <c r="U23" s="8"/>
      <c r="V23" s="8"/>
      <c r="W23" s="8"/>
      <c r="X23" s="8"/>
      <c r="Y23" s="8"/>
      <c r="Z23" s="8"/>
      <c r="AA23" s="8"/>
      <c r="AB23" s="8"/>
      <c r="AC23" s="8"/>
      <c r="AD23" s="8"/>
      <c r="AE23" s="8"/>
      <c r="AF23" s="8"/>
      <c r="AG23" s="8">
        <f>AE23/1000000000</f>
        <v>0</v>
      </c>
      <c r="AH23">
        <f>AG23/12</f>
        <v>0</v>
      </c>
    </row>
    <row r="25" spans="1:34">
      <c r="B25" s="8"/>
    </row>
    <row r="30" spans="1:34">
      <c r="A30" s="1101" t="s">
        <v>20</v>
      </c>
      <c r="B30" s="149" t="s">
        <v>206</v>
      </c>
      <c r="C30" s="125">
        <v>634</v>
      </c>
      <c r="D30" s="125">
        <v>597</v>
      </c>
      <c r="E30" s="125">
        <v>558</v>
      </c>
      <c r="F30" s="125">
        <v>637</v>
      </c>
      <c r="G30" s="125">
        <v>772</v>
      </c>
      <c r="H30" s="125">
        <v>668</v>
      </c>
      <c r="I30" s="125">
        <v>652</v>
      </c>
      <c r="J30" s="125"/>
      <c r="K30" s="125">
        <v>682</v>
      </c>
      <c r="L30" s="125">
        <v>746</v>
      </c>
      <c r="M30" s="125">
        <v>723</v>
      </c>
      <c r="N30" s="125">
        <v>618</v>
      </c>
      <c r="O30" s="125">
        <v>694</v>
      </c>
      <c r="P30" s="126"/>
    </row>
    <row r="31" spans="1:34">
      <c r="A31" s="1101"/>
      <c r="B31" s="42"/>
      <c r="C31" s="96">
        <f>C30*60*60*24*365</f>
        <v>19993824000</v>
      </c>
      <c r="D31" s="96">
        <f t="shared" ref="D31:O31" si="4">D30*60*60*24*365</f>
        <v>18826992000</v>
      </c>
      <c r="E31" s="96">
        <f t="shared" si="4"/>
        <v>17597088000</v>
      </c>
      <c r="F31" s="96">
        <f t="shared" si="4"/>
        <v>20088432000</v>
      </c>
      <c r="G31" s="96">
        <f t="shared" si="4"/>
        <v>24345792000</v>
      </c>
      <c r="H31" s="96">
        <f t="shared" si="4"/>
        <v>21066048000</v>
      </c>
      <c r="I31" s="96">
        <f t="shared" si="4"/>
        <v>20561472000</v>
      </c>
      <c r="J31" s="96">
        <f t="shared" si="4"/>
        <v>0</v>
      </c>
      <c r="K31" s="96">
        <f t="shared" si="4"/>
        <v>21507552000</v>
      </c>
      <c r="L31" s="96">
        <f t="shared" si="4"/>
        <v>23525856000</v>
      </c>
      <c r="M31" s="96">
        <f t="shared" si="4"/>
        <v>22800528000</v>
      </c>
      <c r="N31" s="96">
        <f t="shared" si="4"/>
        <v>19489248000</v>
      </c>
      <c r="O31" s="96">
        <f t="shared" si="4"/>
        <v>21885984000</v>
      </c>
      <c r="P31" s="123">
        <f>SUM(C31:O31)</f>
        <v>251688816000</v>
      </c>
      <c r="Q31" s="124">
        <f>P31/1000000000</f>
        <v>251.688816</v>
      </c>
      <c r="R31" s="8">
        <f>Q31/12</f>
        <v>20.974067999999999</v>
      </c>
    </row>
    <row r="32" spans="1:34">
      <c r="A32" s="1102"/>
      <c r="B32" s="14" t="s">
        <v>210</v>
      </c>
      <c r="C32" s="50">
        <v>721</v>
      </c>
      <c r="D32" s="50">
        <v>631</v>
      </c>
      <c r="E32" s="50">
        <v>621</v>
      </c>
      <c r="F32" s="50">
        <v>667</v>
      </c>
      <c r="G32" s="50">
        <v>707</v>
      </c>
      <c r="H32" s="50">
        <v>660</v>
      </c>
      <c r="I32" s="50">
        <v>671</v>
      </c>
      <c r="J32" s="50"/>
      <c r="K32" s="50">
        <v>682</v>
      </c>
      <c r="L32" s="50">
        <v>643</v>
      </c>
      <c r="M32" s="50">
        <v>730</v>
      </c>
      <c r="N32" s="50">
        <v>621</v>
      </c>
      <c r="O32" s="50">
        <v>693</v>
      </c>
      <c r="P32" s="52"/>
      <c r="R32" s="8"/>
    </row>
    <row r="33" spans="1:18">
      <c r="A33" s="168"/>
      <c r="B33" s="42"/>
      <c r="C33" s="96">
        <f t="shared" ref="C33:O35" si="5">C32*60*60*24*365</f>
        <v>22737456000</v>
      </c>
      <c r="D33" s="96">
        <f t="shared" si="5"/>
        <v>19899216000</v>
      </c>
      <c r="E33" s="96">
        <f t="shared" si="5"/>
        <v>19583856000</v>
      </c>
      <c r="F33" s="96">
        <f t="shared" si="5"/>
        <v>21034512000</v>
      </c>
      <c r="G33" s="96">
        <f t="shared" si="5"/>
        <v>22295952000</v>
      </c>
      <c r="H33" s="96">
        <f t="shared" si="5"/>
        <v>20813760000</v>
      </c>
      <c r="I33" s="96">
        <f t="shared" si="5"/>
        <v>21160656000</v>
      </c>
      <c r="J33" s="96">
        <f t="shared" si="5"/>
        <v>0</v>
      </c>
      <c r="K33" s="96">
        <f t="shared" si="5"/>
        <v>21507552000</v>
      </c>
      <c r="L33" s="96">
        <f t="shared" si="5"/>
        <v>20277648000</v>
      </c>
      <c r="M33" s="96">
        <f t="shared" si="5"/>
        <v>23021280000</v>
      </c>
      <c r="N33" s="96">
        <f t="shared" si="5"/>
        <v>19583856000</v>
      </c>
      <c r="O33" s="96">
        <f t="shared" si="5"/>
        <v>21854448000</v>
      </c>
      <c r="P33" s="123">
        <f>SUM(C33:O33)</f>
        <v>253770192000</v>
      </c>
      <c r="Q33" s="124">
        <f>P33/1000000000</f>
        <v>253.77019200000001</v>
      </c>
      <c r="R33" s="173">
        <f>Q33/12</f>
        <v>21.147516</v>
      </c>
    </row>
    <row r="34" spans="1:18">
      <c r="A34" s="1076" t="s">
        <v>21</v>
      </c>
      <c r="B34" s="149" t="s">
        <v>206</v>
      </c>
      <c r="C34" s="125">
        <v>366</v>
      </c>
      <c r="D34" s="125">
        <v>360</v>
      </c>
      <c r="E34" s="125">
        <v>338</v>
      </c>
      <c r="F34" s="125">
        <v>357</v>
      </c>
      <c r="G34" s="125">
        <v>515</v>
      </c>
      <c r="H34" s="125">
        <v>460</v>
      </c>
      <c r="I34" s="125">
        <v>622</v>
      </c>
      <c r="J34" s="125"/>
      <c r="K34" s="125">
        <v>789</v>
      </c>
      <c r="L34" s="125">
        <v>761</v>
      </c>
      <c r="M34" s="125">
        <v>694</v>
      </c>
      <c r="N34" s="125">
        <v>630</v>
      </c>
      <c r="O34" s="124">
        <v>673</v>
      </c>
      <c r="P34" s="126"/>
      <c r="R34" s="8"/>
    </row>
    <row r="35" spans="1:18">
      <c r="A35" s="1101"/>
      <c r="B35" s="42"/>
      <c r="C35" s="96">
        <f t="shared" si="5"/>
        <v>11542176000</v>
      </c>
      <c r="D35" s="96">
        <f t="shared" ref="D35" si="6">D34*60*60*24*365</f>
        <v>11352960000</v>
      </c>
      <c r="E35" s="96">
        <f t="shared" ref="E35" si="7">E34*60*60*24*365</f>
        <v>10659168000</v>
      </c>
      <c r="F35" s="96">
        <f t="shared" ref="F35" si="8">F34*60*60*24*365</f>
        <v>11258352000</v>
      </c>
      <c r="G35" s="96">
        <f t="shared" ref="G35" si="9">G34*60*60*24*365</f>
        <v>16241040000</v>
      </c>
      <c r="H35" s="96">
        <f t="shared" ref="H35" si="10">H34*60*60*24*365</f>
        <v>14506560000</v>
      </c>
      <c r="I35" s="96">
        <f t="shared" ref="I35" si="11">I34*60*60*24*365</f>
        <v>19615392000</v>
      </c>
      <c r="J35" s="96">
        <f t="shared" ref="J35" si="12">J34*60*60*24*365</f>
        <v>0</v>
      </c>
      <c r="K35" s="96">
        <f t="shared" ref="K35" si="13">K34*60*60*24*365</f>
        <v>24881904000</v>
      </c>
      <c r="L35" s="96">
        <f t="shared" ref="L35" si="14">L34*60*60*24*365</f>
        <v>23998896000</v>
      </c>
      <c r="M35" s="96">
        <f t="shared" ref="M35" si="15">M34*60*60*24*365</f>
        <v>21885984000</v>
      </c>
      <c r="N35" s="96">
        <f t="shared" ref="N35" si="16">N34*60*60*24*365</f>
        <v>19867680000</v>
      </c>
      <c r="O35" s="96">
        <f t="shared" ref="O35" si="17">O34*60*60*24*365</f>
        <v>21223728000</v>
      </c>
      <c r="P35" s="123">
        <f>SUM(C35:O35)</f>
        <v>207033840000</v>
      </c>
      <c r="Q35" s="124">
        <f>P35/1000000000</f>
        <v>207.03384</v>
      </c>
      <c r="R35" s="8">
        <f>Q35/12</f>
        <v>17.25282</v>
      </c>
    </row>
    <row r="36" spans="1:18">
      <c r="A36" s="1103"/>
      <c r="B36" s="14" t="s">
        <v>210</v>
      </c>
      <c r="C36" s="50">
        <v>486</v>
      </c>
      <c r="D36" s="50">
        <v>403</v>
      </c>
      <c r="E36" s="50">
        <v>407</v>
      </c>
      <c r="F36" s="50">
        <v>387</v>
      </c>
      <c r="G36" s="50">
        <v>365</v>
      </c>
      <c r="H36" s="50">
        <v>289</v>
      </c>
      <c r="I36" s="50">
        <v>310</v>
      </c>
      <c r="J36" s="50"/>
      <c r="K36" s="50">
        <v>397</v>
      </c>
      <c r="L36" s="50">
        <v>388</v>
      </c>
      <c r="M36" s="50">
        <v>389</v>
      </c>
      <c r="N36" s="50">
        <v>326</v>
      </c>
      <c r="O36" s="50">
        <v>570</v>
      </c>
      <c r="P36" s="52"/>
      <c r="R36" s="8"/>
    </row>
    <row r="37" spans="1:18">
      <c r="A37" s="168"/>
      <c r="B37" s="42"/>
      <c r="C37" s="96">
        <f t="shared" ref="C37" si="18">C36*60*60*24*365</f>
        <v>15326496000</v>
      </c>
      <c r="D37" s="96">
        <f t="shared" ref="D37" si="19">D36*60*60*24*365</f>
        <v>12709008000</v>
      </c>
      <c r="E37" s="96">
        <f t="shared" ref="E37" si="20">E36*60*60*24*365</f>
        <v>12835152000</v>
      </c>
      <c r="F37" s="96">
        <f t="shared" ref="F37" si="21">F36*60*60*24*365</f>
        <v>12204432000</v>
      </c>
      <c r="G37" s="96">
        <f t="shared" ref="G37" si="22">G36*60*60*24*365</f>
        <v>11510640000</v>
      </c>
      <c r="H37" s="96">
        <f t="shared" ref="H37" si="23">H36*60*60*24*365</f>
        <v>9113904000</v>
      </c>
      <c r="I37" s="96">
        <f t="shared" ref="I37" si="24">I36*60*60*24*365</f>
        <v>9776160000</v>
      </c>
      <c r="J37" s="96">
        <f t="shared" ref="J37" si="25">J36*60*60*24*365</f>
        <v>0</v>
      </c>
      <c r="K37" s="96">
        <f t="shared" ref="K37" si="26">K36*60*60*24*365</f>
        <v>12519792000</v>
      </c>
      <c r="L37" s="96">
        <f t="shared" ref="L37" si="27">L36*60*60*24*365</f>
        <v>12235968000</v>
      </c>
      <c r="M37" s="96">
        <f t="shared" ref="M37" si="28">M36*60*60*24*365</f>
        <v>12267504000</v>
      </c>
      <c r="N37" s="96">
        <f t="shared" ref="N37" si="29">N36*60*60*24*365</f>
        <v>10280736000</v>
      </c>
      <c r="O37" s="96">
        <f t="shared" ref="O37" si="30">O36*60*60*24*365</f>
        <v>17975520000</v>
      </c>
      <c r="P37" s="123">
        <f>SUM(C37:O37)</f>
        <v>148755312000</v>
      </c>
      <c r="Q37" s="124">
        <f>P37/1000000000</f>
        <v>148.755312</v>
      </c>
      <c r="R37" s="8">
        <f>Q37/12</f>
        <v>12.396276</v>
      </c>
    </row>
    <row r="38" spans="1:18">
      <c r="A38" s="1104" t="s">
        <v>22</v>
      </c>
      <c r="B38" s="149" t="s">
        <v>206</v>
      </c>
      <c r="C38" s="125">
        <v>65</v>
      </c>
      <c r="D38" s="125">
        <v>62</v>
      </c>
      <c r="E38" s="125">
        <v>50</v>
      </c>
      <c r="F38" s="125">
        <v>40</v>
      </c>
      <c r="G38" s="125">
        <v>40</v>
      </c>
      <c r="H38" s="125">
        <v>52</v>
      </c>
      <c r="I38" s="125">
        <v>36</v>
      </c>
      <c r="J38" s="125"/>
      <c r="K38" s="125">
        <v>60</v>
      </c>
      <c r="L38" s="125">
        <v>70</v>
      </c>
      <c r="M38" s="125">
        <v>70</v>
      </c>
      <c r="N38" s="125">
        <v>52</v>
      </c>
      <c r="O38" s="125">
        <v>54</v>
      </c>
      <c r="P38" s="126"/>
      <c r="R38" s="8"/>
    </row>
    <row r="39" spans="1:18">
      <c r="A39" s="1101"/>
      <c r="B39" s="42"/>
      <c r="C39" s="96">
        <f t="shared" ref="C39" si="31">C38*60*60*24*365</f>
        <v>2049840000</v>
      </c>
      <c r="D39" s="96">
        <f t="shared" ref="D39" si="32">D38*60*60*24*365</f>
        <v>1955232000</v>
      </c>
      <c r="E39" s="96">
        <f t="shared" ref="E39" si="33">E38*60*60*24*365</f>
        <v>1576800000</v>
      </c>
      <c r="F39" s="96">
        <f t="shared" ref="F39" si="34">F38*60*60*24*365</f>
        <v>1261440000</v>
      </c>
      <c r="G39" s="96">
        <f t="shared" ref="G39" si="35">G38*60*60*24*365</f>
        <v>1261440000</v>
      </c>
      <c r="H39" s="96">
        <f t="shared" ref="H39" si="36">H38*60*60*24*365</f>
        <v>1639872000</v>
      </c>
      <c r="I39" s="96">
        <f t="shared" ref="I39" si="37">I38*60*60*24*365</f>
        <v>1135296000</v>
      </c>
      <c r="J39" s="96">
        <f t="shared" ref="J39" si="38">J38*60*60*24*365</f>
        <v>0</v>
      </c>
      <c r="K39" s="96">
        <f t="shared" ref="K39" si="39">K38*60*60*24*365</f>
        <v>1892160000</v>
      </c>
      <c r="L39" s="96">
        <f t="shared" ref="L39" si="40">L38*60*60*24*365</f>
        <v>2207520000</v>
      </c>
      <c r="M39" s="96">
        <f t="shared" ref="M39" si="41">M38*60*60*24*365</f>
        <v>2207520000</v>
      </c>
      <c r="N39" s="96">
        <f t="shared" ref="N39" si="42">N38*60*60*24*365</f>
        <v>1639872000</v>
      </c>
      <c r="O39" s="96">
        <f t="shared" ref="O39" si="43">O38*60*60*24*365</f>
        <v>1702944000</v>
      </c>
      <c r="P39" s="123">
        <f>SUM(C39:O39)</f>
        <v>20529936000</v>
      </c>
      <c r="Q39" s="124">
        <f>P39/1000000000</f>
        <v>20.529935999999999</v>
      </c>
      <c r="R39" s="8">
        <f>Q39/12</f>
        <v>1.710828</v>
      </c>
    </row>
    <row r="40" spans="1:18">
      <c r="A40" s="1102"/>
      <c r="B40" s="14" t="s">
        <v>210</v>
      </c>
      <c r="C40" s="50">
        <v>49</v>
      </c>
      <c r="D40" s="50">
        <v>59</v>
      </c>
      <c r="E40" s="50">
        <v>66</v>
      </c>
      <c r="F40" s="50">
        <v>63</v>
      </c>
      <c r="G40" s="50">
        <v>50</v>
      </c>
      <c r="H40" s="50">
        <v>39</v>
      </c>
      <c r="I40" s="50">
        <v>40</v>
      </c>
      <c r="J40" s="50"/>
      <c r="K40" s="50">
        <v>40</v>
      </c>
      <c r="L40" s="50">
        <v>37</v>
      </c>
      <c r="M40" s="50">
        <v>35</v>
      </c>
      <c r="N40" s="50">
        <v>35</v>
      </c>
      <c r="O40" s="50">
        <v>54</v>
      </c>
      <c r="P40" s="52"/>
      <c r="R40" s="8"/>
    </row>
    <row r="41" spans="1:18">
      <c r="A41" s="168"/>
      <c r="B41" s="42"/>
      <c r="C41" s="96">
        <f t="shared" ref="C41" si="44">C40*60*60*24*365</f>
        <v>1545264000</v>
      </c>
      <c r="D41" s="96">
        <f t="shared" ref="D41" si="45">D40*60*60*24*365</f>
        <v>1860624000</v>
      </c>
      <c r="E41" s="96">
        <f t="shared" ref="E41" si="46">E40*60*60*24*365</f>
        <v>2081376000</v>
      </c>
      <c r="F41" s="96">
        <f t="shared" ref="F41" si="47">F40*60*60*24*365</f>
        <v>1986768000</v>
      </c>
      <c r="G41" s="96">
        <f t="shared" ref="G41" si="48">G40*60*60*24*365</f>
        <v>1576800000</v>
      </c>
      <c r="H41" s="96">
        <f t="shared" ref="H41" si="49">H40*60*60*24*365</f>
        <v>1229904000</v>
      </c>
      <c r="I41" s="96">
        <f t="shared" ref="I41" si="50">I40*60*60*24*365</f>
        <v>1261440000</v>
      </c>
      <c r="J41" s="96">
        <f t="shared" ref="J41" si="51">J40*60*60*24*365</f>
        <v>0</v>
      </c>
      <c r="K41" s="96">
        <f t="shared" ref="K41" si="52">K40*60*60*24*365</f>
        <v>1261440000</v>
      </c>
      <c r="L41" s="96">
        <f t="shared" ref="L41" si="53">L40*60*60*24*365</f>
        <v>1166832000</v>
      </c>
      <c r="M41" s="96">
        <f t="shared" ref="M41" si="54">M40*60*60*24*365</f>
        <v>1103760000</v>
      </c>
      <c r="N41" s="96">
        <f t="shared" ref="N41" si="55">N40*60*60*24*365</f>
        <v>1103760000</v>
      </c>
      <c r="O41" s="96">
        <f t="shared" ref="O41" si="56">O40*60*60*24*365</f>
        <v>1702944000</v>
      </c>
      <c r="P41" s="123">
        <f>SUM(C41:O41)</f>
        <v>17880912000</v>
      </c>
      <c r="Q41" s="124">
        <f>P41/1000000000</f>
        <v>17.880911999999999</v>
      </c>
      <c r="R41" s="8">
        <f>Q41/12</f>
        <v>1.490076</v>
      </c>
    </row>
    <row r="42" spans="1:18">
      <c r="A42" s="1076" t="s">
        <v>196</v>
      </c>
      <c r="B42" s="149" t="s">
        <v>206</v>
      </c>
      <c r="C42" s="125">
        <v>15</v>
      </c>
      <c r="D42" s="125">
        <v>15</v>
      </c>
      <c r="E42" s="125">
        <v>25</v>
      </c>
      <c r="F42" s="125">
        <v>57</v>
      </c>
      <c r="G42" s="125">
        <v>41</v>
      </c>
      <c r="H42" s="125">
        <v>26</v>
      </c>
      <c r="I42" s="125">
        <v>20</v>
      </c>
      <c r="J42" s="125"/>
      <c r="K42" s="125">
        <v>20</v>
      </c>
      <c r="L42" s="125">
        <v>20</v>
      </c>
      <c r="M42" s="125">
        <v>20</v>
      </c>
      <c r="N42" s="125">
        <v>15</v>
      </c>
      <c r="O42" s="125">
        <v>20</v>
      </c>
      <c r="P42" s="126"/>
      <c r="R42" s="8"/>
    </row>
    <row r="43" spans="1:18">
      <c r="A43" s="1101"/>
      <c r="B43" s="42"/>
      <c r="C43" s="96">
        <f t="shared" ref="C43" si="57">C42*60*60*24*365</f>
        <v>473040000</v>
      </c>
      <c r="D43" s="96">
        <f t="shared" ref="D43" si="58">D42*60*60*24*365</f>
        <v>473040000</v>
      </c>
      <c r="E43" s="96">
        <f t="shared" ref="E43" si="59">E42*60*60*24*365</f>
        <v>788400000</v>
      </c>
      <c r="F43" s="96">
        <f t="shared" ref="F43" si="60">F42*60*60*24*365</f>
        <v>1797552000</v>
      </c>
      <c r="G43" s="96">
        <f t="shared" ref="G43" si="61">G42*60*60*24*365</f>
        <v>1292976000</v>
      </c>
      <c r="H43" s="96">
        <f t="shared" ref="H43" si="62">H42*60*60*24*365</f>
        <v>819936000</v>
      </c>
      <c r="I43" s="96">
        <f t="shared" ref="I43" si="63">I42*60*60*24*365</f>
        <v>630720000</v>
      </c>
      <c r="J43" s="96">
        <f t="shared" ref="J43" si="64">J42*60*60*24*365</f>
        <v>0</v>
      </c>
      <c r="K43" s="96">
        <f t="shared" ref="K43" si="65">K42*60*60*24*365</f>
        <v>630720000</v>
      </c>
      <c r="L43" s="96">
        <f t="shared" ref="L43" si="66">L42*60*60*24*365</f>
        <v>630720000</v>
      </c>
      <c r="M43" s="96">
        <f t="shared" ref="M43" si="67">M42*60*60*24*365</f>
        <v>630720000</v>
      </c>
      <c r="N43" s="96">
        <f t="shared" ref="N43" si="68">N42*60*60*24*365</f>
        <v>473040000</v>
      </c>
      <c r="O43" s="96">
        <f t="shared" ref="O43" si="69">O42*60*60*24*365</f>
        <v>630720000</v>
      </c>
      <c r="P43" s="123">
        <f>SUM(C43:O43)</f>
        <v>9271584000</v>
      </c>
      <c r="Q43" s="124">
        <f>P43/1000000000</f>
        <v>9.2715840000000007</v>
      </c>
      <c r="R43" s="8">
        <f>Q43/12</f>
        <v>0.7726320000000001</v>
      </c>
    </row>
    <row r="44" spans="1:18">
      <c r="A44" s="1103"/>
      <c r="B44" s="14" t="s">
        <v>210</v>
      </c>
      <c r="C44" s="50">
        <v>84</v>
      </c>
      <c r="D44" s="50">
        <v>21</v>
      </c>
      <c r="E44" s="50">
        <v>3</v>
      </c>
      <c r="F44" s="50">
        <v>8</v>
      </c>
      <c r="G44" s="50">
        <v>13</v>
      </c>
      <c r="H44" s="50">
        <v>13</v>
      </c>
      <c r="I44" s="50">
        <v>8</v>
      </c>
      <c r="J44" s="50"/>
      <c r="K44" s="50">
        <v>5</v>
      </c>
      <c r="L44" s="50">
        <v>5</v>
      </c>
      <c r="M44" s="50">
        <v>15</v>
      </c>
      <c r="N44" s="50">
        <v>33</v>
      </c>
      <c r="O44" s="50">
        <v>20</v>
      </c>
      <c r="P44" s="52"/>
      <c r="R44" s="8"/>
    </row>
    <row r="45" spans="1:18">
      <c r="A45" s="168"/>
      <c r="B45" s="42"/>
      <c r="C45" s="96">
        <f t="shared" ref="C45" si="70">C44*60*60*24*365</f>
        <v>2649024000</v>
      </c>
      <c r="D45" s="96">
        <f t="shared" ref="D45" si="71">D44*60*60*24*365</f>
        <v>662256000</v>
      </c>
      <c r="E45" s="96">
        <f t="shared" ref="E45" si="72">E44*60*60*24*365</f>
        <v>94608000</v>
      </c>
      <c r="F45" s="96">
        <f t="shared" ref="F45" si="73">F44*60*60*24*365</f>
        <v>252288000</v>
      </c>
      <c r="G45" s="96">
        <f t="shared" ref="G45" si="74">G44*60*60*24*365</f>
        <v>409968000</v>
      </c>
      <c r="H45" s="96">
        <f t="shared" ref="H45" si="75">H44*60*60*24*365</f>
        <v>409968000</v>
      </c>
      <c r="I45" s="96">
        <f t="shared" ref="I45" si="76">I44*60*60*24*365</f>
        <v>252288000</v>
      </c>
      <c r="J45" s="96">
        <f t="shared" ref="J45" si="77">J44*60*60*24*365</f>
        <v>0</v>
      </c>
      <c r="K45" s="96">
        <f t="shared" ref="K45" si="78">K44*60*60*24*365</f>
        <v>157680000</v>
      </c>
      <c r="L45" s="96">
        <f t="shared" ref="L45" si="79">L44*60*60*24*365</f>
        <v>157680000</v>
      </c>
      <c r="M45" s="96">
        <f t="shared" ref="M45" si="80">M44*60*60*24*365</f>
        <v>473040000</v>
      </c>
      <c r="N45" s="96">
        <f t="shared" ref="N45" si="81">N44*60*60*24*365</f>
        <v>1040688000</v>
      </c>
      <c r="O45" s="96">
        <f t="shared" ref="O45" si="82">O44*60*60*24*365</f>
        <v>630720000</v>
      </c>
      <c r="P45" s="123">
        <f>SUM(C45:O45)</f>
        <v>7190208000</v>
      </c>
      <c r="Q45" s="124">
        <f>P45/1000000000</f>
        <v>7.1902080000000002</v>
      </c>
      <c r="R45" s="8">
        <f>Q45/12</f>
        <v>0.59918400000000005</v>
      </c>
    </row>
    <row r="46" spans="1:18">
      <c r="A46" s="1105" t="s">
        <v>209</v>
      </c>
      <c r="B46" s="149" t="s">
        <v>206</v>
      </c>
      <c r="C46" s="125">
        <v>33</v>
      </c>
      <c r="D46" s="125">
        <v>46</v>
      </c>
      <c r="E46" s="125">
        <v>59</v>
      </c>
      <c r="F46" s="125">
        <v>67</v>
      </c>
      <c r="G46" s="125">
        <v>112</v>
      </c>
      <c r="H46" s="125">
        <v>89</v>
      </c>
      <c r="I46" s="125">
        <v>66</v>
      </c>
      <c r="J46" s="125"/>
      <c r="K46" s="125">
        <v>71</v>
      </c>
      <c r="L46" s="125">
        <v>69</v>
      </c>
      <c r="M46" s="125">
        <v>73</v>
      </c>
      <c r="N46" s="125">
        <v>68</v>
      </c>
      <c r="O46" s="125">
        <v>49</v>
      </c>
      <c r="P46" s="126"/>
    </row>
    <row r="47" spans="1:18">
      <c r="A47" s="1106"/>
      <c r="B47" s="42"/>
      <c r="C47" s="96">
        <f t="shared" ref="C47" si="83">C46*60*60*24*365</f>
        <v>1040688000</v>
      </c>
      <c r="D47" s="96">
        <f t="shared" ref="D47" si="84">D46*60*60*24*365</f>
        <v>1450656000</v>
      </c>
      <c r="E47" s="96">
        <f t="shared" ref="E47" si="85">E46*60*60*24*365</f>
        <v>1860624000</v>
      </c>
      <c r="F47" s="96">
        <f t="shared" ref="F47" si="86">F46*60*60*24*365</f>
        <v>2112912000</v>
      </c>
      <c r="G47" s="96">
        <f t="shared" ref="G47" si="87">G46*60*60*24*365</f>
        <v>3532032000</v>
      </c>
      <c r="H47" s="96">
        <f t="shared" ref="H47" si="88">H46*60*60*24*365</f>
        <v>2806704000</v>
      </c>
      <c r="I47" s="96">
        <f t="shared" ref="I47" si="89">I46*60*60*24*365</f>
        <v>2081376000</v>
      </c>
      <c r="J47" s="96">
        <f t="shared" ref="J47" si="90">J46*60*60*24*365</f>
        <v>0</v>
      </c>
      <c r="K47" s="96">
        <f t="shared" ref="K47" si="91">K46*60*60*24*365</f>
        <v>2239056000</v>
      </c>
      <c r="L47" s="96">
        <f t="shared" ref="L47" si="92">L46*60*60*24*365</f>
        <v>2175984000</v>
      </c>
      <c r="M47" s="96">
        <f t="shared" ref="M47" si="93">M46*60*60*24*365</f>
        <v>2302128000</v>
      </c>
      <c r="N47" s="96">
        <f t="shared" ref="N47" si="94">N46*60*60*24*365</f>
        <v>2144448000</v>
      </c>
      <c r="O47" s="96">
        <f t="shared" ref="O47" si="95">O46*60*60*24*365</f>
        <v>1545264000</v>
      </c>
      <c r="P47" s="123">
        <f>SUM(C47:O47)</f>
        <v>25291872000</v>
      </c>
      <c r="Q47" s="124">
        <f>P47/1000000000</f>
        <v>25.291872000000001</v>
      </c>
      <c r="R47" s="8">
        <f>Q47/12</f>
        <v>2.107656</v>
      </c>
    </row>
    <row r="48" spans="1:18" ht="15.75" thickBot="1">
      <c r="A48" s="1107"/>
      <c r="B48" s="3" t="s">
        <v>210</v>
      </c>
      <c r="C48" s="51">
        <v>48</v>
      </c>
      <c r="D48" s="51">
        <v>44</v>
      </c>
      <c r="E48" s="51">
        <v>38</v>
      </c>
      <c r="F48" s="51">
        <v>54</v>
      </c>
      <c r="G48" s="51">
        <v>53</v>
      </c>
      <c r="H48" s="51">
        <v>55</v>
      </c>
      <c r="I48" s="51">
        <v>47</v>
      </c>
      <c r="J48" s="51"/>
      <c r="K48" s="51">
        <v>45</v>
      </c>
      <c r="L48" s="51">
        <v>48</v>
      </c>
      <c r="M48" s="51">
        <v>47</v>
      </c>
      <c r="N48" s="51">
        <v>46</v>
      </c>
      <c r="O48" s="51">
        <v>49</v>
      </c>
      <c r="P48" s="127"/>
    </row>
    <row r="49" spans="1:18" ht="15.75" thickTop="1">
      <c r="A49" s="27"/>
      <c r="B49" s="42"/>
      <c r="C49" s="96">
        <f t="shared" ref="C49" si="96">C48*60*60*24*365</f>
        <v>1513728000</v>
      </c>
      <c r="D49" s="96">
        <f t="shared" ref="D49" si="97">D48*60*60*24*365</f>
        <v>1387584000</v>
      </c>
      <c r="E49" s="96">
        <f t="shared" ref="E49" si="98">E48*60*60*24*365</f>
        <v>1198368000</v>
      </c>
      <c r="F49" s="96">
        <f t="shared" ref="F49" si="99">F48*60*60*24*365</f>
        <v>1702944000</v>
      </c>
      <c r="G49" s="96">
        <f t="shared" ref="G49" si="100">G48*60*60*24*365</f>
        <v>1671408000</v>
      </c>
      <c r="H49" s="96">
        <f t="shared" ref="H49" si="101">H48*60*60*24*365</f>
        <v>1734480000</v>
      </c>
      <c r="I49" s="96">
        <f t="shared" ref="I49" si="102">I48*60*60*24*365</f>
        <v>1482192000</v>
      </c>
      <c r="J49" s="96">
        <f t="shared" ref="J49" si="103">J48*60*60*24*365</f>
        <v>0</v>
      </c>
      <c r="K49" s="96">
        <f t="shared" ref="K49" si="104">K48*60*60*24*365</f>
        <v>1419120000</v>
      </c>
      <c r="L49" s="96">
        <f t="shared" ref="L49" si="105">L48*60*60*24*365</f>
        <v>1513728000</v>
      </c>
      <c r="M49" s="96">
        <f t="shared" ref="M49" si="106">M48*60*60*24*365</f>
        <v>1482192000</v>
      </c>
      <c r="N49" s="96">
        <f t="shared" ref="N49" si="107">N48*60*60*24*365</f>
        <v>1450656000</v>
      </c>
      <c r="O49" s="96">
        <f t="shared" ref="O49" si="108">O48*60*60*24*365</f>
        <v>1545264000</v>
      </c>
      <c r="P49" s="123">
        <f>SUM(C49:O49)</f>
        <v>18101664000</v>
      </c>
      <c r="Q49" s="124">
        <f>P49/1000000000</f>
        <v>18.101664</v>
      </c>
      <c r="R49" s="8">
        <f>Q49/12</f>
        <v>1.508472</v>
      </c>
    </row>
  </sheetData>
  <mergeCells count="21">
    <mergeCell ref="A5:A6"/>
    <mergeCell ref="A1:P1"/>
    <mergeCell ref="P3:P4"/>
    <mergeCell ref="A2:P2"/>
    <mergeCell ref="C3:I3"/>
    <mergeCell ref="K3:O3"/>
    <mergeCell ref="A3:A4"/>
    <mergeCell ref="B3:B4"/>
    <mergeCell ref="A16:K16"/>
    <mergeCell ref="A20:D20"/>
    <mergeCell ref="G20:I20"/>
    <mergeCell ref="A7:A8"/>
    <mergeCell ref="A9:A10"/>
    <mergeCell ref="A11:A12"/>
    <mergeCell ref="A13:A14"/>
    <mergeCell ref="A15:K15"/>
    <mergeCell ref="A30:A32"/>
    <mergeCell ref="A34:A36"/>
    <mergeCell ref="A38:A40"/>
    <mergeCell ref="A42:A44"/>
    <mergeCell ref="A46:A48"/>
  </mergeCells>
  <printOptions horizontalCentered="1"/>
  <pageMargins left="0.45" right="0.45" top="0.5" bottom="0.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AB27"/>
  <sheetViews>
    <sheetView rightToLeft="1" view="pageBreakPreview" zoomScale="130" zoomScaleSheetLayoutView="130" workbookViewId="0">
      <selection activeCell="L27" sqref="L27"/>
    </sheetView>
  </sheetViews>
  <sheetFormatPr defaultRowHeight="15"/>
  <cols>
    <col min="1" max="1" width="13.85546875" customWidth="1"/>
    <col min="2" max="9" width="10.140625" customWidth="1"/>
    <col min="10" max="10" width="10.140625" style="16" customWidth="1"/>
    <col min="11" max="12" width="10.140625" customWidth="1"/>
  </cols>
  <sheetData>
    <row r="1" spans="1:13" ht="26.25" customHeight="1">
      <c r="A1" s="1072" t="s">
        <v>540</v>
      </c>
      <c r="B1" s="1072"/>
      <c r="C1" s="1072"/>
      <c r="D1" s="1072"/>
      <c r="E1" s="1072"/>
      <c r="F1" s="1072"/>
      <c r="G1" s="1072"/>
      <c r="H1" s="1072"/>
      <c r="I1" s="1072"/>
      <c r="J1" s="1072"/>
      <c r="K1" s="1072"/>
      <c r="L1" s="1072"/>
    </row>
    <row r="2" spans="1:13" s="140" customFormat="1" ht="26.25" customHeight="1" thickBot="1">
      <c r="A2" s="541" t="s">
        <v>336</v>
      </c>
      <c r="B2" s="378"/>
      <c r="C2" s="378"/>
      <c r="D2" s="378"/>
      <c r="E2" s="378"/>
      <c r="F2" s="378"/>
      <c r="G2" s="378"/>
      <c r="H2" s="378"/>
      <c r="I2" s="378"/>
      <c r="J2" s="378"/>
      <c r="K2" s="378"/>
      <c r="L2" s="534"/>
      <c r="M2" s="534"/>
    </row>
    <row r="3" spans="1:13" ht="32.25" customHeight="1" thickTop="1">
      <c r="A3" s="1068" t="s">
        <v>0</v>
      </c>
      <c r="B3" s="1116" t="s">
        <v>541</v>
      </c>
      <c r="C3" s="1116"/>
      <c r="D3" s="1116"/>
      <c r="E3" s="1116"/>
      <c r="F3" s="1116"/>
      <c r="G3" s="1116"/>
      <c r="H3" s="1116"/>
      <c r="I3" s="1116"/>
      <c r="J3" s="1068" t="s">
        <v>592</v>
      </c>
      <c r="K3" s="1068" t="s">
        <v>593</v>
      </c>
      <c r="L3" s="1114" t="s">
        <v>594</v>
      </c>
    </row>
    <row r="4" spans="1:13" ht="24" customHeight="1">
      <c r="A4" s="1069"/>
      <c r="B4" s="165" t="s">
        <v>24</v>
      </c>
      <c r="C4" s="165" t="s">
        <v>25</v>
      </c>
      <c r="D4" s="165" t="s">
        <v>26</v>
      </c>
      <c r="E4" s="165" t="s">
        <v>27</v>
      </c>
      <c r="F4" s="165" t="s">
        <v>10</v>
      </c>
      <c r="G4" s="165" t="s">
        <v>199</v>
      </c>
      <c r="H4" s="165" t="s">
        <v>12</v>
      </c>
      <c r="I4" s="165" t="s">
        <v>13</v>
      </c>
      <c r="J4" s="1069"/>
      <c r="K4" s="1069"/>
      <c r="L4" s="1115"/>
    </row>
    <row r="5" spans="1:13" ht="20.25" customHeight="1">
      <c r="A5" s="38" t="s">
        <v>38</v>
      </c>
      <c r="B5" s="252">
        <v>19</v>
      </c>
      <c r="C5" s="200">
        <v>16</v>
      </c>
      <c r="D5" s="200">
        <v>54</v>
      </c>
      <c r="E5" s="200">
        <v>116</v>
      </c>
      <c r="F5" s="200">
        <v>41</v>
      </c>
      <c r="G5" s="200">
        <v>51</v>
      </c>
      <c r="H5" s="200">
        <v>54</v>
      </c>
      <c r="I5" s="252">
        <v>19</v>
      </c>
      <c r="J5" s="252">
        <f t="shared" ref="J5:J20" si="0">SUM(B5:I5)</f>
        <v>370</v>
      </c>
      <c r="K5" s="253">
        <v>634</v>
      </c>
      <c r="L5" s="170">
        <f t="shared" ref="L5:L20" si="1">J5/K5*100</f>
        <v>58.359621451104104</v>
      </c>
    </row>
    <row r="6" spans="1:13" ht="20.25" customHeight="1">
      <c r="A6" s="40" t="s">
        <v>39</v>
      </c>
      <c r="B6" s="200">
        <v>3.4</v>
      </c>
      <c r="C6" s="200">
        <v>4</v>
      </c>
      <c r="D6" s="200">
        <v>68</v>
      </c>
      <c r="E6" s="200">
        <v>63</v>
      </c>
      <c r="F6" s="200">
        <v>27</v>
      </c>
      <c r="G6" s="200">
        <v>19</v>
      </c>
      <c r="H6" s="200">
        <v>29</v>
      </c>
      <c r="I6" s="200">
        <v>23</v>
      </c>
      <c r="J6" s="200">
        <f t="shared" si="0"/>
        <v>236.4</v>
      </c>
      <c r="K6" s="254">
        <v>383</v>
      </c>
      <c r="L6" s="56">
        <f t="shared" si="1"/>
        <v>61.723237597911229</v>
      </c>
    </row>
    <row r="7" spans="1:13" ht="20.25" customHeight="1">
      <c r="A7" s="40" t="s">
        <v>28</v>
      </c>
      <c r="B7" s="200">
        <v>0</v>
      </c>
      <c r="C7" s="200">
        <v>0</v>
      </c>
      <c r="D7" s="200">
        <v>37</v>
      </c>
      <c r="E7" s="200">
        <v>49</v>
      </c>
      <c r="F7" s="200">
        <v>4</v>
      </c>
      <c r="G7" s="200">
        <v>13</v>
      </c>
      <c r="H7" s="200">
        <v>0</v>
      </c>
      <c r="I7" s="200">
        <v>22</v>
      </c>
      <c r="J7" s="200">
        <f t="shared" si="0"/>
        <v>125</v>
      </c>
      <c r="K7" s="254">
        <v>346</v>
      </c>
      <c r="L7" s="56">
        <f t="shared" si="1"/>
        <v>36.127167630057805</v>
      </c>
    </row>
    <row r="8" spans="1:13" ht="20.25" customHeight="1">
      <c r="A8" s="40" t="s">
        <v>41</v>
      </c>
      <c r="B8" s="200">
        <v>10</v>
      </c>
      <c r="C8" s="200">
        <v>2</v>
      </c>
      <c r="D8" s="200">
        <v>122</v>
      </c>
      <c r="E8" s="200">
        <v>95</v>
      </c>
      <c r="F8" s="200">
        <v>33</v>
      </c>
      <c r="G8" s="200">
        <v>34</v>
      </c>
      <c r="H8" s="200">
        <v>10</v>
      </c>
      <c r="I8" s="200">
        <v>25</v>
      </c>
      <c r="J8" s="200">
        <f t="shared" si="0"/>
        <v>331</v>
      </c>
      <c r="K8" s="254">
        <v>654</v>
      </c>
      <c r="L8" s="56">
        <f t="shared" si="1"/>
        <v>50.611620795107036</v>
      </c>
    </row>
    <row r="9" spans="1:13" ht="20.25" customHeight="1">
      <c r="A9" s="40" t="s">
        <v>29</v>
      </c>
      <c r="B9" s="200">
        <v>0</v>
      </c>
      <c r="C9" s="200">
        <v>3</v>
      </c>
      <c r="D9" s="200">
        <v>47</v>
      </c>
      <c r="E9" s="200">
        <v>81</v>
      </c>
      <c r="F9" s="200">
        <v>41</v>
      </c>
      <c r="G9" s="200">
        <v>13</v>
      </c>
      <c r="H9" s="200">
        <v>5</v>
      </c>
      <c r="I9" s="200">
        <v>13</v>
      </c>
      <c r="J9" s="200">
        <f t="shared" si="0"/>
        <v>203</v>
      </c>
      <c r="K9" s="254">
        <v>311</v>
      </c>
      <c r="L9" s="56">
        <f t="shared" si="1"/>
        <v>65.273311897106112</v>
      </c>
    </row>
    <row r="10" spans="1:13" ht="20.25" customHeight="1">
      <c r="A10" s="40" t="s">
        <v>30</v>
      </c>
      <c r="B10" s="200">
        <v>0</v>
      </c>
      <c r="C10" s="200">
        <v>1</v>
      </c>
      <c r="D10" s="200">
        <v>0.5</v>
      </c>
      <c r="E10" s="200">
        <v>9</v>
      </c>
      <c r="F10" s="200">
        <v>11</v>
      </c>
      <c r="G10" s="200">
        <v>0.5</v>
      </c>
      <c r="H10" s="200">
        <v>2.6</v>
      </c>
      <c r="I10" s="200">
        <v>0</v>
      </c>
      <c r="J10" s="200">
        <f t="shared" si="0"/>
        <v>24.6</v>
      </c>
      <c r="K10" s="254">
        <v>109</v>
      </c>
      <c r="L10" s="56">
        <f t="shared" si="1"/>
        <v>22.568807339449542</v>
      </c>
    </row>
    <row r="11" spans="1:13" ht="20.25" customHeight="1">
      <c r="A11" s="40" t="s">
        <v>31</v>
      </c>
      <c r="B11" s="200">
        <v>0</v>
      </c>
      <c r="C11" s="200">
        <v>2</v>
      </c>
      <c r="D11" s="200">
        <v>6</v>
      </c>
      <c r="E11" s="200">
        <v>24</v>
      </c>
      <c r="F11" s="200">
        <v>11</v>
      </c>
      <c r="G11" s="200">
        <v>1</v>
      </c>
      <c r="H11" s="200">
        <v>4</v>
      </c>
      <c r="I11" s="200">
        <v>0</v>
      </c>
      <c r="J11" s="200">
        <f t="shared" si="0"/>
        <v>48</v>
      </c>
      <c r="K11" s="254">
        <v>137</v>
      </c>
      <c r="L11" s="56">
        <f t="shared" si="1"/>
        <v>35.036496350364963</v>
      </c>
    </row>
    <row r="12" spans="1:13" ht="20.25" customHeight="1">
      <c r="A12" s="40" t="s">
        <v>32</v>
      </c>
      <c r="B12" s="200">
        <v>1.4</v>
      </c>
      <c r="C12" s="200">
        <v>52</v>
      </c>
      <c r="D12" s="200">
        <v>61</v>
      </c>
      <c r="E12" s="200">
        <v>153</v>
      </c>
      <c r="F12" s="200">
        <v>57</v>
      </c>
      <c r="G12" s="200">
        <v>21</v>
      </c>
      <c r="H12" s="200">
        <v>14</v>
      </c>
      <c r="I12" s="200">
        <v>29</v>
      </c>
      <c r="J12" s="200">
        <f t="shared" si="0"/>
        <v>388.4</v>
      </c>
      <c r="K12" s="254">
        <v>613</v>
      </c>
      <c r="L12" s="56">
        <f t="shared" si="1"/>
        <v>63.360522022838495</v>
      </c>
    </row>
    <row r="13" spans="1:13" ht="20.25" customHeight="1">
      <c r="A13" s="40" t="s">
        <v>65</v>
      </c>
      <c r="B13" s="200">
        <v>0</v>
      </c>
      <c r="C13" s="200">
        <v>0.5</v>
      </c>
      <c r="D13" s="200">
        <v>0</v>
      </c>
      <c r="E13" s="200">
        <v>2</v>
      </c>
      <c r="F13" s="200">
        <v>0.9</v>
      </c>
      <c r="G13" s="200">
        <v>0</v>
      </c>
      <c r="H13" s="200">
        <v>9</v>
      </c>
      <c r="I13" s="200">
        <v>0</v>
      </c>
      <c r="J13" s="200">
        <f t="shared" si="0"/>
        <v>12.4</v>
      </c>
      <c r="K13" s="254">
        <v>96</v>
      </c>
      <c r="L13" s="56">
        <f t="shared" si="1"/>
        <v>12.916666666666668</v>
      </c>
    </row>
    <row r="14" spans="1:13" ht="20.25" customHeight="1">
      <c r="A14" s="40" t="s">
        <v>212</v>
      </c>
      <c r="B14" s="200">
        <v>0</v>
      </c>
      <c r="C14" s="200">
        <v>27</v>
      </c>
      <c r="D14" s="200">
        <v>3</v>
      </c>
      <c r="E14" s="200">
        <v>2</v>
      </c>
      <c r="F14" s="200">
        <v>3</v>
      </c>
      <c r="G14" s="200">
        <v>0</v>
      </c>
      <c r="H14" s="200">
        <v>4</v>
      </c>
      <c r="I14" s="200">
        <v>0</v>
      </c>
      <c r="J14" s="200">
        <f t="shared" si="0"/>
        <v>39</v>
      </c>
      <c r="K14" s="254">
        <v>117</v>
      </c>
      <c r="L14" s="56">
        <f t="shared" si="1"/>
        <v>33.333333333333329</v>
      </c>
    </row>
    <row r="15" spans="1:13" ht="20.25" customHeight="1">
      <c r="A15" s="40" t="s">
        <v>293</v>
      </c>
      <c r="B15" s="200">
        <v>0</v>
      </c>
      <c r="C15" s="200">
        <v>1</v>
      </c>
      <c r="D15" s="200">
        <v>15</v>
      </c>
      <c r="E15" s="200">
        <v>3</v>
      </c>
      <c r="F15" s="200">
        <v>1</v>
      </c>
      <c r="G15" s="200">
        <v>3</v>
      </c>
      <c r="H15" s="200">
        <v>11</v>
      </c>
      <c r="I15" s="200">
        <v>0</v>
      </c>
      <c r="J15" s="200">
        <f t="shared" si="0"/>
        <v>34</v>
      </c>
      <c r="K15" s="254">
        <v>137</v>
      </c>
      <c r="L15" s="56">
        <f t="shared" si="1"/>
        <v>24.817518248175183</v>
      </c>
    </row>
    <row r="16" spans="1:13" ht="20.25" customHeight="1">
      <c r="A16" s="40" t="s">
        <v>34</v>
      </c>
      <c r="B16" s="200">
        <v>0</v>
      </c>
      <c r="C16" s="200">
        <v>2</v>
      </c>
      <c r="D16" s="200">
        <v>2</v>
      </c>
      <c r="E16" s="200">
        <v>10</v>
      </c>
      <c r="F16" s="200">
        <v>25</v>
      </c>
      <c r="G16" s="200">
        <v>0</v>
      </c>
      <c r="H16" s="200">
        <v>0</v>
      </c>
      <c r="I16" s="200">
        <v>0</v>
      </c>
      <c r="J16" s="200">
        <f t="shared" si="0"/>
        <v>39</v>
      </c>
      <c r="K16" s="254">
        <v>148</v>
      </c>
      <c r="L16" s="56">
        <f t="shared" si="1"/>
        <v>26.351351351351347</v>
      </c>
    </row>
    <row r="17" spans="1:28" ht="20.25" customHeight="1">
      <c r="A17" s="40" t="s">
        <v>35</v>
      </c>
      <c r="B17" s="200">
        <v>0</v>
      </c>
      <c r="C17" s="200">
        <v>4</v>
      </c>
      <c r="D17" s="200">
        <v>4</v>
      </c>
      <c r="E17" s="200">
        <v>6</v>
      </c>
      <c r="F17" s="200">
        <v>1</v>
      </c>
      <c r="G17" s="200">
        <v>6</v>
      </c>
      <c r="H17" s="200">
        <v>0</v>
      </c>
      <c r="I17" s="200">
        <v>0</v>
      </c>
      <c r="J17" s="200">
        <f t="shared" si="0"/>
        <v>21</v>
      </c>
      <c r="K17" s="254">
        <v>101</v>
      </c>
      <c r="L17" s="56">
        <f t="shared" si="1"/>
        <v>20.792079207920793</v>
      </c>
    </row>
    <row r="18" spans="1:28" ht="20.25" customHeight="1">
      <c r="A18" s="40" t="s">
        <v>36</v>
      </c>
      <c r="B18" s="200">
        <v>0</v>
      </c>
      <c r="C18" s="200">
        <v>2</v>
      </c>
      <c r="D18" s="200">
        <v>3</v>
      </c>
      <c r="E18" s="200">
        <v>6</v>
      </c>
      <c r="F18" s="200">
        <v>2</v>
      </c>
      <c r="G18" s="200">
        <v>0</v>
      </c>
      <c r="H18" s="200">
        <v>1</v>
      </c>
      <c r="I18" s="200">
        <v>0</v>
      </c>
      <c r="J18" s="200">
        <f t="shared" si="0"/>
        <v>14</v>
      </c>
      <c r="K18" s="254">
        <v>209</v>
      </c>
      <c r="L18" s="56">
        <f t="shared" si="1"/>
        <v>6.6985645933014357</v>
      </c>
    </row>
    <row r="19" spans="1:28" ht="20.25" customHeight="1">
      <c r="A19" s="53" t="s">
        <v>213</v>
      </c>
      <c r="B19" s="200">
        <v>0</v>
      </c>
      <c r="C19" s="200">
        <v>0</v>
      </c>
      <c r="D19" s="200">
        <v>7</v>
      </c>
      <c r="E19" s="200">
        <v>11.5</v>
      </c>
      <c r="F19" s="200">
        <v>6</v>
      </c>
      <c r="G19" s="200">
        <v>6.7</v>
      </c>
      <c r="H19" s="200">
        <v>3</v>
      </c>
      <c r="I19" s="200">
        <v>0</v>
      </c>
      <c r="J19" s="200">
        <f t="shared" si="0"/>
        <v>34.200000000000003</v>
      </c>
      <c r="K19" s="254">
        <v>77</v>
      </c>
      <c r="L19" s="56">
        <f t="shared" si="1"/>
        <v>44.415584415584419</v>
      </c>
    </row>
    <row r="20" spans="1:28" ht="20.25" customHeight="1" thickBot="1">
      <c r="A20" s="41" t="s">
        <v>37</v>
      </c>
      <c r="B20" s="593">
        <v>0</v>
      </c>
      <c r="C20" s="593">
        <v>33</v>
      </c>
      <c r="D20" s="593">
        <v>34</v>
      </c>
      <c r="E20" s="593">
        <v>7</v>
      </c>
      <c r="F20" s="593">
        <v>5</v>
      </c>
      <c r="G20" s="593">
        <v>4</v>
      </c>
      <c r="H20" s="593">
        <v>5</v>
      </c>
      <c r="I20" s="593">
        <v>0</v>
      </c>
      <c r="J20" s="593">
        <f t="shared" si="0"/>
        <v>88</v>
      </c>
      <c r="K20" s="594">
        <v>110</v>
      </c>
      <c r="L20" s="325">
        <f t="shared" si="1"/>
        <v>80</v>
      </c>
    </row>
    <row r="21" spans="1:28" ht="26.25" customHeight="1" thickTop="1">
      <c r="A21" s="1112" t="s">
        <v>359</v>
      </c>
      <c r="B21" s="1112"/>
      <c r="C21" s="1112"/>
      <c r="D21" s="1112"/>
      <c r="E21" s="1112"/>
      <c r="F21" s="1112"/>
      <c r="G21" s="1112"/>
      <c r="H21" s="1112"/>
      <c r="I21" s="1112"/>
      <c r="J21" s="1112"/>
      <c r="K21" s="1112"/>
      <c r="L21" s="1112"/>
    </row>
    <row r="22" spans="1:28" ht="0.75" customHeight="1">
      <c r="A22" s="108"/>
      <c r="B22" s="108"/>
      <c r="C22" s="108"/>
      <c r="D22" s="108"/>
      <c r="E22" s="108"/>
      <c r="F22" s="108"/>
      <c r="G22" s="108"/>
      <c r="H22" s="108"/>
      <c r="I22" s="108"/>
      <c r="J22" s="1006"/>
      <c r="K22" s="108"/>
      <c r="L22" s="108"/>
    </row>
    <row r="23" spans="1:28" ht="15" customHeight="1">
      <c r="A23" s="1113" t="s">
        <v>4</v>
      </c>
      <c r="B23" s="1113"/>
      <c r="C23" s="1113"/>
      <c r="D23" s="1113"/>
      <c r="E23" s="1113"/>
      <c r="F23" s="1113"/>
      <c r="G23" s="1113"/>
      <c r="H23" s="1113"/>
      <c r="I23" s="1113"/>
      <c r="J23" s="1113"/>
      <c r="K23" s="1113"/>
      <c r="L23" s="1113"/>
      <c r="M23" s="539"/>
    </row>
    <row r="24" spans="1:28" ht="20.25" customHeight="1">
      <c r="A24" s="539"/>
      <c r="B24" s="539"/>
      <c r="C24" s="539"/>
      <c r="D24" s="539"/>
      <c r="E24" s="539"/>
      <c r="F24" s="539"/>
      <c r="G24" s="539"/>
      <c r="H24" s="539"/>
      <c r="I24" s="539"/>
      <c r="J24" s="539"/>
      <c r="K24" s="539"/>
      <c r="L24" s="539"/>
      <c r="M24" s="539"/>
    </row>
    <row r="26" spans="1:28" ht="20.25" customHeight="1">
      <c r="A26" s="402"/>
      <c r="B26" s="402"/>
      <c r="C26" s="402"/>
      <c r="D26" s="402"/>
      <c r="E26" s="402"/>
      <c r="F26" s="402"/>
      <c r="G26" s="402"/>
      <c r="H26" s="402"/>
      <c r="I26" s="402"/>
      <c r="J26" s="402"/>
      <c r="K26" s="402"/>
      <c r="L26" s="402"/>
      <c r="M26" s="402"/>
    </row>
    <row r="27" spans="1:28" ht="20.25" customHeight="1">
      <c r="A27" s="1088" t="s">
        <v>204</v>
      </c>
      <c r="B27" s="1088"/>
      <c r="C27" s="1088"/>
      <c r="D27" s="92"/>
      <c r="E27" s="1108"/>
      <c r="F27" s="1108"/>
      <c r="G27" s="1108"/>
      <c r="H27" s="1108"/>
      <c r="I27" s="92"/>
      <c r="J27" s="92"/>
      <c r="K27" s="92"/>
      <c r="L27" s="630">
        <v>25</v>
      </c>
      <c r="M27" s="13"/>
      <c r="O27" s="5"/>
      <c r="P27" s="5"/>
      <c r="Q27" s="5"/>
      <c r="R27" s="5"/>
      <c r="S27" s="5"/>
      <c r="T27" s="5"/>
      <c r="U27" s="5"/>
      <c r="V27" s="5"/>
      <c r="W27" s="5"/>
      <c r="X27" s="5"/>
      <c r="Y27" s="5"/>
      <c r="Z27" s="5"/>
      <c r="AB27" s="7"/>
    </row>
  </sheetData>
  <mergeCells count="10">
    <mergeCell ref="A1:L1"/>
    <mergeCell ref="A21:L21"/>
    <mergeCell ref="A23:L23"/>
    <mergeCell ref="A27:C27"/>
    <mergeCell ref="A3:A4"/>
    <mergeCell ref="L3:L4"/>
    <mergeCell ref="E27:H27"/>
    <mergeCell ref="B3:I3"/>
    <mergeCell ref="J3:J4"/>
    <mergeCell ref="K3:K4"/>
  </mergeCells>
  <printOptions horizontalCentered="1"/>
  <pageMargins left="0.45" right="0.45" top="0.5" bottom="0.5" header="0.3" footer="0.3"/>
  <pageSetup paperSize="9" scale="9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W52"/>
  <sheetViews>
    <sheetView rightToLeft="1" view="pageBreakPreview" zoomScale="90" zoomScaleSheetLayoutView="90" workbookViewId="0">
      <selection activeCell="C20" sqref="C20"/>
    </sheetView>
  </sheetViews>
  <sheetFormatPr defaultColWidth="8.7109375" defaultRowHeight="15"/>
  <cols>
    <col min="1" max="1" width="12.42578125" customWidth="1"/>
    <col min="2" max="14" width="9.42578125" customWidth="1"/>
  </cols>
  <sheetData>
    <row r="1" spans="1:14" ht="46.5" customHeight="1">
      <c r="A1" s="1118" t="s">
        <v>542</v>
      </c>
      <c r="B1" s="1118"/>
      <c r="C1" s="1118"/>
      <c r="D1" s="1118"/>
      <c r="E1" s="1118"/>
      <c r="F1" s="1118"/>
      <c r="G1" s="1118"/>
      <c r="H1" s="1118"/>
      <c r="I1" s="1118"/>
      <c r="J1" s="1118"/>
      <c r="K1" s="1118"/>
      <c r="L1" s="1118"/>
      <c r="M1" s="1118"/>
      <c r="N1" s="1118"/>
    </row>
    <row r="2" spans="1:14" ht="21" customHeight="1">
      <c r="A2" s="199" t="s">
        <v>337</v>
      </c>
      <c r="B2" s="199"/>
      <c r="C2" s="199"/>
      <c r="D2" s="199"/>
      <c r="E2" s="199"/>
      <c r="F2" s="199"/>
      <c r="G2" s="199"/>
      <c r="H2" s="199"/>
      <c r="I2" s="199"/>
      <c r="J2" s="199"/>
      <c r="N2" s="510" t="s">
        <v>332</v>
      </c>
    </row>
    <row r="3" spans="1:14" ht="6.75" customHeight="1" thickBot="1">
      <c r="B3" s="12"/>
      <c r="C3" s="12"/>
      <c r="D3" s="12"/>
      <c r="E3" s="12"/>
      <c r="F3" s="12"/>
    </row>
    <row r="4" spans="1:14" ht="26.25" customHeight="1" thickTop="1">
      <c r="A4" s="1068" t="s">
        <v>442</v>
      </c>
      <c r="B4" s="1111" t="s">
        <v>218</v>
      </c>
      <c r="C4" s="1111"/>
      <c r="D4" s="1111"/>
      <c r="E4" s="1111"/>
      <c r="F4" s="1111"/>
      <c r="G4" s="1111"/>
      <c r="H4" s="1111"/>
      <c r="I4" s="1111"/>
      <c r="J4" s="1111"/>
      <c r="K4" s="1111"/>
      <c r="L4" s="1111"/>
      <c r="M4" s="1111"/>
      <c r="N4" s="1119" t="s">
        <v>331</v>
      </c>
    </row>
    <row r="5" spans="1:14" ht="38.25" customHeight="1">
      <c r="A5" s="1069"/>
      <c r="B5" s="724" t="s">
        <v>46</v>
      </c>
      <c r="C5" s="724" t="s">
        <v>47</v>
      </c>
      <c r="D5" s="724" t="s">
        <v>48</v>
      </c>
      <c r="E5" s="724" t="s">
        <v>49</v>
      </c>
      <c r="F5" s="724" t="s">
        <v>10</v>
      </c>
      <c r="G5" s="724" t="s">
        <v>18</v>
      </c>
      <c r="H5" s="724" t="s">
        <v>12</v>
      </c>
      <c r="I5" s="724" t="s">
        <v>13</v>
      </c>
      <c r="J5" s="724" t="s">
        <v>14</v>
      </c>
      <c r="K5" s="724" t="s">
        <v>15</v>
      </c>
      <c r="L5" s="724" t="s">
        <v>19</v>
      </c>
      <c r="M5" s="724" t="s">
        <v>17</v>
      </c>
      <c r="N5" s="1120"/>
    </row>
    <row r="6" spans="1:14" ht="27.75" customHeight="1">
      <c r="A6" s="415" t="s">
        <v>28</v>
      </c>
      <c r="B6" s="49">
        <v>22.03</v>
      </c>
      <c r="C6" s="49">
        <v>10.53</v>
      </c>
      <c r="D6" s="49">
        <v>6.04</v>
      </c>
      <c r="E6" s="49">
        <v>5.71</v>
      </c>
      <c r="F6" s="49">
        <v>7.9</v>
      </c>
      <c r="G6" s="49">
        <v>14.51</v>
      </c>
      <c r="H6" s="49">
        <v>23.06</v>
      </c>
      <c r="I6" s="49">
        <v>36.659999999999997</v>
      </c>
      <c r="J6" s="49">
        <v>44.66</v>
      </c>
      <c r="K6" s="49">
        <v>45.67</v>
      </c>
      <c r="L6" s="49">
        <v>41.75</v>
      </c>
      <c r="M6" s="49">
        <v>28.85</v>
      </c>
      <c r="N6" s="910">
        <f t="shared" ref="N6" si="0">SUM(B6:M6)</f>
        <v>287.37</v>
      </c>
    </row>
    <row r="7" spans="1:14" ht="27.75" customHeight="1">
      <c r="A7" s="416" t="s">
        <v>41</v>
      </c>
      <c r="B7" s="44">
        <v>17.25</v>
      </c>
      <c r="C7" s="44">
        <v>8.81</v>
      </c>
      <c r="D7" s="44">
        <v>4.97</v>
      </c>
      <c r="E7" s="44">
        <v>4.6900000000000004</v>
      </c>
      <c r="F7" s="44">
        <v>6.18</v>
      </c>
      <c r="G7" s="44">
        <v>11.36</v>
      </c>
      <c r="H7" s="44">
        <v>16.8</v>
      </c>
      <c r="I7" s="44">
        <v>26.28</v>
      </c>
      <c r="J7" s="44">
        <v>35.299999999999997</v>
      </c>
      <c r="K7" s="44">
        <v>40.32</v>
      </c>
      <c r="L7" s="44">
        <v>34.43</v>
      </c>
      <c r="M7" s="44">
        <v>24.18</v>
      </c>
      <c r="N7" s="911">
        <f t="shared" ref="N7:N13" si="1">SUM(B7:M7)</f>
        <v>230.57</v>
      </c>
    </row>
    <row r="8" spans="1:14" ht="27.75" customHeight="1">
      <c r="A8" s="416" t="s">
        <v>42</v>
      </c>
      <c r="B8" s="44">
        <v>5.37</v>
      </c>
      <c r="C8" s="44">
        <v>2.71</v>
      </c>
      <c r="D8" s="44">
        <v>1.53</v>
      </c>
      <c r="E8" s="44">
        <v>1.5</v>
      </c>
      <c r="F8" s="44">
        <v>2.16</v>
      </c>
      <c r="G8" s="44">
        <v>4.1100000000000003</v>
      </c>
      <c r="H8" s="44">
        <v>5.72</v>
      </c>
      <c r="I8" s="44">
        <v>8.5</v>
      </c>
      <c r="J8" s="44">
        <v>10.86</v>
      </c>
      <c r="K8" s="44">
        <v>11.89</v>
      </c>
      <c r="L8" s="44">
        <v>10.57</v>
      </c>
      <c r="M8" s="44">
        <v>7.68</v>
      </c>
      <c r="N8" s="911">
        <f t="shared" si="1"/>
        <v>72.599999999999994</v>
      </c>
    </row>
    <row r="9" spans="1:14" ht="27.75" customHeight="1">
      <c r="A9" s="416" t="s">
        <v>245</v>
      </c>
      <c r="B9" s="44">
        <v>148.34</v>
      </c>
      <c r="C9" s="44">
        <v>76.900000000000006</v>
      </c>
      <c r="D9" s="44">
        <v>44.25</v>
      </c>
      <c r="E9" s="44">
        <v>41.28</v>
      </c>
      <c r="F9" s="44">
        <v>64.45</v>
      </c>
      <c r="G9" s="44">
        <v>110.12</v>
      </c>
      <c r="H9" s="44">
        <v>155.29</v>
      </c>
      <c r="I9" s="44">
        <v>223.02</v>
      </c>
      <c r="J9" s="44">
        <v>272.73</v>
      </c>
      <c r="K9" s="44">
        <v>299.52</v>
      </c>
      <c r="L9" s="44">
        <v>268</v>
      </c>
      <c r="M9" s="44">
        <v>194.04</v>
      </c>
      <c r="N9" s="912">
        <f t="shared" si="1"/>
        <v>1897.94</v>
      </c>
    </row>
    <row r="10" spans="1:14" ht="27.75" customHeight="1">
      <c r="A10" s="416" t="s">
        <v>246</v>
      </c>
      <c r="B10" s="44">
        <v>5.96</v>
      </c>
      <c r="C10" s="44">
        <v>3.09</v>
      </c>
      <c r="D10" s="44">
        <v>1.98</v>
      </c>
      <c r="E10" s="44">
        <v>2.0499999999999998</v>
      </c>
      <c r="F10" s="44">
        <v>2.92</v>
      </c>
      <c r="G10" s="44">
        <v>5.14</v>
      </c>
      <c r="H10" s="44">
        <v>7.73</v>
      </c>
      <c r="I10" s="44">
        <v>10.54</v>
      </c>
      <c r="J10" s="44">
        <v>12.71</v>
      </c>
      <c r="K10" s="44">
        <v>14.06</v>
      </c>
      <c r="L10" s="44">
        <v>12.07</v>
      </c>
      <c r="M10" s="44">
        <v>7.92</v>
      </c>
      <c r="N10" s="911">
        <f>SUM(B10:M10)</f>
        <v>86.17</v>
      </c>
    </row>
    <row r="11" spans="1:14" ht="27.75" customHeight="1">
      <c r="A11" s="416" t="s">
        <v>214</v>
      </c>
      <c r="B11" s="44">
        <v>3.86</v>
      </c>
      <c r="C11" s="44">
        <v>2.58</v>
      </c>
      <c r="D11" s="44">
        <v>1.61</v>
      </c>
      <c r="E11" s="44">
        <v>1.98</v>
      </c>
      <c r="F11" s="44">
        <v>3.41</v>
      </c>
      <c r="G11" s="44">
        <v>5.81</v>
      </c>
      <c r="H11" s="44">
        <v>6.94</v>
      </c>
      <c r="I11" s="44">
        <v>10.4</v>
      </c>
      <c r="J11" s="44">
        <v>15.01</v>
      </c>
      <c r="K11" s="44">
        <v>16.059999999999999</v>
      </c>
      <c r="L11" s="44">
        <v>12.85</v>
      </c>
      <c r="M11" s="44">
        <v>7.85</v>
      </c>
      <c r="N11" s="911">
        <f t="shared" si="1"/>
        <v>88.359999999999985</v>
      </c>
    </row>
    <row r="12" spans="1:14" ht="27.75" customHeight="1">
      <c r="A12" s="416" t="s">
        <v>44</v>
      </c>
      <c r="B12" s="44">
        <v>43.97</v>
      </c>
      <c r="C12" s="44">
        <v>19.989999999999998</v>
      </c>
      <c r="D12" s="44">
        <v>10.36</v>
      </c>
      <c r="E12" s="44">
        <v>10.039999999999999</v>
      </c>
      <c r="F12" s="44">
        <v>14.33</v>
      </c>
      <c r="G12" s="44">
        <v>23.38</v>
      </c>
      <c r="H12" s="44">
        <v>31.86</v>
      </c>
      <c r="I12" s="44">
        <v>48.06</v>
      </c>
      <c r="J12" s="44">
        <v>62.1</v>
      </c>
      <c r="K12" s="44">
        <v>68.5</v>
      </c>
      <c r="L12" s="44">
        <v>56.47</v>
      </c>
      <c r="M12" s="44">
        <v>38.78</v>
      </c>
      <c r="N12" s="911">
        <f t="shared" si="1"/>
        <v>427.83999999999992</v>
      </c>
    </row>
    <row r="13" spans="1:14" ht="27.75" customHeight="1" thickBot="1">
      <c r="A13" s="416" t="s">
        <v>247</v>
      </c>
      <c r="B13" s="44">
        <v>46.79</v>
      </c>
      <c r="C13" s="44">
        <v>46.59</v>
      </c>
      <c r="D13" s="44">
        <v>46.86</v>
      </c>
      <c r="E13" s="44">
        <v>47.15</v>
      </c>
      <c r="F13" s="44">
        <v>47.14</v>
      </c>
      <c r="G13" s="44">
        <v>46.71</v>
      </c>
      <c r="H13" s="44">
        <v>46.35</v>
      </c>
      <c r="I13" s="44">
        <v>46.27</v>
      </c>
      <c r="J13" s="44">
        <v>45.65</v>
      </c>
      <c r="K13" s="44">
        <v>44.3</v>
      </c>
      <c r="L13" s="44">
        <v>43.07</v>
      </c>
      <c r="M13" s="44">
        <v>42.55</v>
      </c>
      <c r="N13" s="911">
        <f t="shared" si="1"/>
        <v>549.42999999999995</v>
      </c>
    </row>
    <row r="14" spans="1:14" ht="27.75" customHeight="1" thickTop="1" thickBot="1">
      <c r="A14" s="326" t="s">
        <v>197</v>
      </c>
      <c r="B14" s="931">
        <f t="shared" ref="B14:M14" si="2">SUM(B6:B13)</f>
        <v>293.57000000000005</v>
      </c>
      <c r="C14" s="931">
        <f t="shared" si="2"/>
        <v>171.2</v>
      </c>
      <c r="D14" s="931">
        <f t="shared" si="2"/>
        <v>117.6</v>
      </c>
      <c r="E14" s="931">
        <f t="shared" si="2"/>
        <v>114.4</v>
      </c>
      <c r="F14" s="931">
        <f t="shared" si="2"/>
        <v>148.49</v>
      </c>
      <c r="G14" s="931">
        <f t="shared" si="2"/>
        <v>221.14</v>
      </c>
      <c r="H14" s="931">
        <f t="shared" si="2"/>
        <v>293.75</v>
      </c>
      <c r="I14" s="931">
        <f t="shared" si="2"/>
        <v>409.73</v>
      </c>
      <c r="J14" s="931">
        <f t="shared" si="2"/>
        <v>499.02</v>
      </c>
      <c r="K14" s="931">
        <f t="shared" si="2"/>
        <v>540.31999999999994</v>
      </c>
      <c r="L14" s="931">
        <f t="shared" si="2"/>
        <v>479.21</v>
      </c>
      <c r="M14" s="931">
        <f t="shared" si="2"/>
        <v>351.85000000000008</v>
      </c>
      <c r="N14" s="913">
        <f>SUM(B14:M14)</f>
        <v>3640.28</v>
      </c>
    </row>
    <row r="15" spans="1:14" ht="8.25" customHeight="1" thickTop="1">
      <c r="A15" s="1117"/>
      <c r="B15" s="1117"/>
      <c r="C15" s="1117"/>
      <c r="D15" s="1117"/>
      <c r="E15" s="12"/>
      <c r="F15" s="12"/>
    </row>
    <row r="16" spans="1:14" ht="24.75" customHeight="1">
      <c r="A16" s="1113" t="s">
        <v>4</v>
      </c>
      <c r="B16" s="1113"/>
      <c r="C16" s="1113"/>
      <c r="D16" s="1113"/>
      <c r="E16" s="1113"/>
      <c r="F16" s="1113"/>
      <c r="G16" s="1113"/>
      <c r="H16" s="1113"/>
      <c r="I16" s="1113"/>
    </row>
    <row r="17" spans="1:23" ht="27.75" customHeight="1">
      <c r="A17" s="413"/>
      <c r="B17" s="413"/>
      <c r="C17" s="413"/>
      <c r="D17" s="413"/>
      <c r="E17" s="413"/>
      <c r="F17" s="413"/>
      <c r="G17" s="413"/>
      <c r="H17" s="413"/>
      <c r="I17" s="413"/>
    </row>
    <row r="18" spans="1:23" ht="27.75" customHeight="1">
      <c r="A18" s="413"/>
      <c r="B18" s="413"/>
      <c r="C18" s="413"/>
      <c r="D18" s="413"/>
      <c r="E18" s="413"/>
      <c r="F18" s="413"/>
      <c r="G18" s="413"/>
      <c r="H18" s="413"/>
      <c r="I18" s="413"/>
    </row>
    <row r="20" spans="1:23" ht="32.25" customHeight="1">
      <c r="E20" s="18"/>
      <c r="F20" s="18"/>
    </row>
    <row r="21" spans="1:23" ht="27.75" customHeight="1">
      <c r="A21" s="774" t="s">
        <v>204</v>
      </c>
      <c r="B21" s="774"/>
      <c r="C21" s="774"/>
      <c r="D21" s="774"/>
      <c r="E21" s="774"/>
      <c r="F21" s="774"/>
      <c r="G21" s="92"/>
      <c r="H21" s="92"/>
      <c r="I21" s="92"/>
      <c r="J21" s="92"/>
      <c r="K21" s="92"/>
      <c r="L21" s="92"/>
      <c r="M21" s="92"/>
      <c r="N21" s="630">
        <v>26</v>
      </c>
      <c r="O21" s="5"/>
      <c r="P21" s="5"/>
      <c r="Q21" s="5"/>
      <c r="R21" s="5"/>
      <c r="S21" s="5"/>
      <c r="T21" s="5"/>
      <c r="U21" s="5"/>
      <c r="W21" s="7"/>
    </row>
    <row r="37" spans="1:10" ht="15.75" thickBot="1"/>
    <row r="38" spans="1:10" ht="26.25" thickTop="1">
      <c r="A38" s="151" t="s">
        <v>40</v>
      </c>
      <c r="B38" s="154" t="s">
        <v>41</v>
      </c>
      <c r="C38" s="154" t="s">
        <v>42</v>
      </c>
      <c r="D38" s="154" t="s">
        <v>28</v>
      </c>
      <c r="E38" s="154" t="s">
        <v>44</v>
      </c>
      <c r="F38" s="154" t="s">
        <v>214</v>
      </c>
      <c r="G38" s="166" t="s">
        <v>245</v>
      </c>
      <c r="H38" s="166" t="s">
        <v>247</v>
      </c>
      <c r="I38" s="166" t="s">
        <v>246</v>
      </c>
      <c r="J38" s="166" t="s">
        <v>215</v>
      </c>
    </row>
    <row r="39" spans="1:10">
      <c r="A39" s="386" t="s">
        <v>46</v>
      </c>
      <c r="B39" s="49">
        <v>23.69</v>
      </c>
      <c r="C39" s="49">
        <v>8.18</v>
      </c>
      <c r="D39" s="49">
        <v>16.07</v>
      </c>
      <c r="E39" s="366">
        <v>36.54</v>
      </c>
      <c r="F39" s="49">
        <v>35.229999999999997</v>
      </c>
      <c r="G39" s="369">
        <v>205.88</v>
      </c>
      <c r="H39" s="369">
        <v>43.09</v>
      </c>
      <c r="I39" s="369">
        <v>8.0500000000000007</v>
      </c>
      <c r="J39" s="49" t="s">
        <v>287</v>
      </c>
    </row>
    <row r="40" spans="1:10">
      <c r="A40" s="40" t="s">
        <v>47</v>
      </c>
      <c r="B40" s="44">
        <v>12.2</v>
      </c>
      <c r="C40" s="44">
        <v>3.98</v>
      </c>
      <c r="D40" s="44">
        <v>8.0399999999999991</v>
      </c>
      <c r="E40" s="367">
        <v>17.190000000000001</v>
      </c>
      <c r="F40" s="44">
        <v>16.96</v>
      </c>
      <c r="G40" s="369">
        <v>107.47</v>
      </c>
      <c r="H40" s="369">
        <v>20.8</v>
      </c>
      <c r="I40" s="369">
        <v>3.87</v>
      </c>
      <c r="J40" s="44" t="s">
        <v>287</v>
      </c>
    </row>
    <row r="41" spans="1:10">
      <c r="A41" s="40" t="s">
        <v>48</v>
      </c>
      <c r="B41" s="44">
        <v>6.96</v>
      </c>
      <c r="C41" s="44">
        <v>2.16</v>
      </c>
      <c r="D41" s="44">
        <v>4.91</v>
      </c>
      <c r="E41" s="367">
        <v>9.92</v>
      </c>
      <c r="F41" s="44">
        <v>9.49</v>
      </c>
      <c r="G41" s="369">
        <v>62.09</v>
      </c>
      <c r="H41" s="369">
        <v>12.43</v>
      </c>
      <c r="I41" s="369">
        <v>2.13</v>
      </c>
      <c r="J41" s="44" t="s">
        <v>287</v>
      </c>
    </row>
    <row r="42" spans="1:10">
      <c r="A42" s="40" t="s">
        <v>49</v>
      </c>
      <c r="B42" s="44">
        <v>6.38</v>
      </c>
      <c r="C42" s="44">
        <v>2.0699999999999998</v>
      </c>
      <c r="D42" s="44">
        <v>5.07</v>
      </c>
      <c r="E42" s="367">
        <v>11.01</v>
      </c>
      <c r="F42" s="44">
        <v>8.82</v>
      </c>
      <c r="G42" s="369">
        <v>58.07</v>
      </c>
      <c r="H42" s="369">
        <v>7.35</v>
      </c>
      <c r="I42" s="369">
        <v>2.38</v>
      </c>
      <c r="J42" s="44" t="s">
        <v>287</v>
      </c>
    </row>
    <row r="43" spans="1:10">
      <c r="A43" s="40" t="s">
        <v>10</v>
      </c>
      <c r="B43" s="44">
        <v>7.87</v>
      </c>
      <c r="C43" s="44">
        <v>2.81</v>
      </c>
      <c r="D43" s="44">
        <v>8</v>
      </c>
      <c r="E43" s="367">
        <v>17.91</v>
      </c>
      <c r="F43" s="44">
        <v>12.23</v>
      </c>
      <c r="G43" s="369">
        <v>90.55</v>
      </c>
      <c r="H43" s="369">
        <v>18.04</v>
      </c>
      <c r="I43" s="369">
        <v>3.66</v>
      </c>
      <c r="J43" s="44" t="s">
        <v>287</v>
      </c>
    </row>
    <row r="44" spans="1:10">
      <c r="A44" s="40" t="s">
        <v>18</v>
      </c>
      <c r="B44" s="44">
        <v>13.96</v>
      </c>
      <c r="C44" s="44">
        <v>5.72</v>
      </c>
      <c r="D44" s="44">
        <v>16.28</v>
      </c>
      <c r="E44" s="367">
        <v>32.130000000000003</v>
      </c>
      <c r="F44" s="44">
        <v>20.66</v>
      </c>
      <c r="G44" s="369">
        <v>156.81</v>
      </c>
      <c r="H44" s="369">
        <v>33.18</v>
      </c>
      <c r="I44" s="369">
        <v>6.91</v>
      </c>
      <c r="J44" s="44" t="s">
        <v>287</v>
      </c>
    </row>
    <row r="45" spans="1:10">
      <c r="A45" s="40" t="s">
        <v>12</v>
      </c>
      <c r="B45" s="44">
        <v>21.53</v>
      </c>
      <c r="C45" s="44">
        <v>9.5299999999999994</v>
      </c>
      <c r="D45" s="44">
        <v>25.72</v>
      </c>
      <c r="E45" s="367">
        <v>45.02</v>
      </c>
      <c r="F45" s="44">
        <v>29.42</v>
      </c>
      <c r="G45" s="369">
        <v>223.34</v>
      </c>
      <c r="H45" s="369">
        <v>41.5</v>
      </c>
      <c r="I45" s="369">
        <v>10.4</v>
      </c>
      <c r="J45" s="44" t="s">
        <v>287</v>
      </c>
    </row>
    <row r="46" spans="1:10">
      <c r="A46" s="40" t="s">
        <v>13</v>
      </c>
      <c r="B46" s="44">
        <v>34.99</v>
      </c>
      <c r="C46" s="44">
        <v>17.260000000000002</v>
      </c>
      <c r="D46" s="44">
        <v>41.33</v>
      </c>
      <c r="E46" s="367">
        <v>67.28</v>
      </c>
      <c r="F46" s="44">
        <v>42.43</v>
      </c>
      <c r="G46" s="369">
        <v>326.83999999999997</v>
      </c>
      <c r="H46" s="369">
        <v>56.63</v>
      </c>
      <c r="I46" s="369">
        <v>15.29</v>
      </c>
      <c r="J46" s="44" t="s">
        <v>287</v>
      </c>
    </row>
    <row r="47" spans="1:10">
      <c r="A47" s="40" t="s">
        <v>14</v>
      </c>
      <c r="B47" s="44">
        <v>46.71</v>
      </c>
      <c r="C47" s="44">
        <v>21.77</v>
      </c>
      <c r="D47" s="44">
        <v>48.95</v>
      </c>
      <c r="E47" s="367">
        <v>85.39</v>
      </c>
      <c r="F47" s="44">
        <v>51.66</v>
      </c>
      <c r="G47" s="369">
        <v>405.59</v>
      </c>
      <c r="H47" s="369">
        <v>70.77</v>
      </c>
      <c r="I47" s="369">
        <v>18.440000000000001</v>
      </c>
      <c r="J47" s="44" t="s">
        <v>287</v>
      </c>
    </row>
    <row r="48" spans="1:10">
      <c r="A48" s="40" t="s">
        <v>15</v>
      </c>
      <c r="B48" s="44">
        <v>53.42</v>
      </c>
      <c r="C48" s="44">
        <v>20.83</v>
      </c>
      <c r="D48" s="44">
        <v>52.25</v>
      </c>
      <c r="E48" s="367">
        <v>90.26</v>
      </c>
      <c r="F48" s="44">
        <v>56.08</v>
      </c>
      <c r="G48" s="369">
        <v>446.78</v>
      </c>
      <c r="H48" s="369">
        <v>80.02</v>
      </c>
      <c r="I48" s="369">
        <v>20.399999999999999</v>
      </c>
      <c r="J48" s="44" t="s">
        <v>287</v>
      </c>
    </row>
    <row r="49" spans="1:10">
      <c r="A49" s="40" t="s">
        <v>19</v>
      </c>
      <c r="B49" s="44">
        <v>46.21</v>
      </c>
      <c r="C49" s="44">
        <v>16.850000000000001</v>
      </c>
      <c r="D49" s="44">
        <v>41.75</v>
      </c>
      <c r="E49" s="367">
        <v>95.77</v>
      </c>
      <c r="F49" s="44">
        <v>50.65</v>
      </c>
      <c r="G49" s="369">
        <v>402</v>
      </c>
      <c r="H49" s="369">
        <v>71.760000000000005</v>
      </c>
      <c r="I49" s="369">
        <v>17.55</v>
      </c>
      <c r="J49" s="44" t="s">
        <v>287</v>
      </c>
    </row>
    <row r="50" spans="1:10" ht="15.75" thickBot="1">
      <c r="A50" s="53" t="s">
        <v>17</v>
      </c>
      <c r="B50" s="88">
        <v>33.369999999999997</v>
      </c>
      <c r="C50" s="88">
        <v>11.37</v>
      </c>
      <c r="D50" s="88">
        <v>26.9</v>
      </c>
      <c r="E50" s="368">
        <v>46.08</v>
      </c>
      <c r="F50" s="88">
        <v>33.380000000000003</v>
      </c>
      <c r="G50" s="370">
        <v>291.8</v>
      </c>
      <c r="H50" s="370">
        <v>51.75</v>
      </c>
      <c r="I50" s="370">
        <v>11.55</v>
      </c>
      <c r="J50" s="88" t="s">
        <v>287</v>
      </c>
    </row>
    <row r="51" spans="1:10" ht="16.5" thickTop="1" thickBot="1">
      <c r="A51" s="326" t="s">
        <v>197</v>
      </c>
      <c r="B51" s="364">
        <f t="shared" ref="B51:I51" si="3">SUM(B39:B50)</f>
        <v>307.29000000000002</v>
      </c>
      <c r="C51" s="364">
        <f t="shared" si="3"/>
        <v>122.53</v>
      </c>
      <c r="D51" s="364">
        <f t="shared" si="3"/>
        <v>295.27</v>
      </c>
      <c r="E51" s="365">
        <f t="shared" si="3"/>
        <v>554.5</v>
      </c>
      <c r="F51" s="364">
        <f t="shared" si="3"/>
        <v>367.01</v>
      </c>
      <c r="G51" s="364">
        <f t="shared" si="3"/>
        <v>2777.2200000000003</v>
      </c>
      <c r="H51" s="364">
        <f t="shared" si="3"/>
        <v>507.31999999999994</v>
      </c>
      <c r="I51" s="371">
        <f t="shared" si="3"/>
        <v>120.63</v>
      </c>
      <c r="J51" s="327" t="s">
        <v>287</v>
      </c>
    </row>
    <row r="52" spans="1:10" ht="15.75" thickTop="1"/>
  </sheetData>
  <mergeCells count="6">
    <mergeCell ref="A15:D15"/>
    <mergeCell ref="A16:I16"/>
    <mergeCell ref="A1:N1"/>
    <mergeCell ref="A4:A5"/>
    <mergeCell ref="B4:M4"/>
    <mergeCell ref="N4:N5"/>
  </mergeCells>
  <printOptions horizontalCentered="1"/>
  <pageMargins left="0.45" right="0.45" top="0.5" bottom="0.5" header="0.3" footer="0.3"/>
  <pageSetup paperSize="9" scale="9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R24"/>
  <sheetViews>
    <sheetView rightToLeft="1" view="pageBreakPreview" zoomScaleSheetLayoutView="100" workbookViewId="0">
      <selection activeCell="A19" sqref="A19:E19"/>
    </sheetView>
  </sheetViews>
  <sheetFormatPr defaultColWidth="13.85546875" defaultRowHeight="21"/>
  <cols>
    <col min="1" max="1" width="22.28515625" style="19" customWidth="1"/>
    <col min="2" max="2" width="15.5703125" style="19" customWidth="1"/>
    <col min="3" max="4" width="15.5703125" customWidth="1"/>
    <col min="5" max="5" width="0.85546875" customWidth="1"/>
    <col min="6" max="6" width="16.140625" customWidth="1"/>
    <col min="7" max="7" width="15.5703125" customWidth="1"/>
  </cols>
  <sheetData>
    <row r="1" spans="1:12" ht="33.75" customHeight="1">
      <c r="A1" s="1127" t="s">
        <v>543</v>
      </c>
      <c r="B1" s="1127"/>
      <c r="C1" s="1127"/>
      <c r="D1" s="1127"/>
      <c r="E1" s="1127"/>
      <c r="F1" s="1127"/>
      <c r="G1" s="1127"/>
    </row>
    <row r="2" spans="1:12" s="140" customFormat="1" ht="20.25" customHeight="1">
      <c r="A2" s="1073" t="s">
        <v>338</v>
      </c>
      <c r="B2" s="1073"/>
      <c r="C2" s="1073"/>
      <c r="D2" s="1073"/>
      <c r="E2" s="1073"/>
      <c r="F2" s="1073"/>
      <c r="G2" s="1073"/>
    </row>
    <row r="3" spans="1:12" ht="5.25" customHeight="1" thickBot="1">
      <c r="L3" s="63">
        <v>4.26</v>
      </c>
    </row>
    <row r="4" spans="1:12" s="20" customFormat="1" ht="31.5" customHeight="1" thickTop="1">
      <c r="A4" s="1068" t="s">
        <v>50</v>
      </c>
      <c r="B4" s="1068" t="s">
        <v>51</v>
      </c>
      <c r="C4" s="1111" t="s">
        <v>392</v>
      </c>
      <c r="D4" s="1111"/>
      <c r="E4" s="155"/>
      <c r="F4" s="1111" t="s">
        <v>544</v>
      </c>
      <c r="G4" s="1111"/>
      <c r="L4" s="65">
        <v>2.12</v>
      </c>
    </row>
    <row r="5" spans="1:12" s="20" customFormat="1" ht="29.25" customHeight="1">
      <c r="A5" s="1069"/>
      <c r="B5" s="1128"/>
      <c r="C5" s="157" t="s">
        <v>52</v>
      </c>
      <c r="D5" s="157" t="s">
        <v>360</v>
      </c>
      <c r="E5" s="156"/>
      <c r="F5" s="157" t="s">
        <v>52</v>
      </c>
      <c r="G5" s="157" t="s">
        <v>360</v>
      </c>
      <c r="L5" s="65">
        <v>1.44</v>
      </c>
    </row>
    <row r="6" spans="1:12" s="21" customFormat="1" ht="24.75" customHeight="1">
      <c r="A6" s="1124" t="s">
        <v>53</v>
      </c>
      <c r="B6" s="57" t="s">
        <v>28</v>
      </c>
      <c r="C6" s="63">
        <v>317.16000000000003</v>
      </c>
      <c r="D6" s="63">
        <v>6.15</v>
      </c>
      <c r="E6" s="62"/>
      <c r="F6" s="63">
        <v>309.89</v>
      </c>
      <c r="G6" s="63">
        <v>4.26</v>
      </c>
      <c r="L6" s="703">
        <v>0</v>
      </c>
    </row>
    <row r="7" spans="1:12" s="21" customFormat="1" ht="24.75" customHeight="1">
      <c r="A7" s="1125"/>
      <c r="B7" s="58" t="s">
        <v>44</v>
      </c>
      <c r="C7" s="65">
        <v>140.31</v>
      </c>
      <c r="D7" s="65">
        <v>5.3810000000000002</v>
      </c>
      <c r="E7" s="64"/>
      <c r="F7" s="65">
        <v>128.07</v>
      </c>
      <c r="G7" s="65">
        <v>2.12</v>
      </c>
      <c r="L7" s="706">
        <v>2.23</v>
      </c>
    </row>
    <row r="8" spans="1:12" s="21" customFormat="1" ht="24.75" customHeight="1">
      <c r="A8" s="1125"/>
      <c r="B8" s="58" t="s">
        <v>43</v>
      </c>
      <c r="C8" s="65">
        <v>48.62</v>
      </c>
      <c r="D8" s="65">
        <v>10.218999999999999</v>
      </c>
      <c r="E8" s="64"/>
      <c r="F8" s="65">
        <v>43.41</v>
      </c>
      <c r="G8" s="65">
        <v>1.44</v>
      </c>
      <c r="L8" s="69">
        <v>0.33</v>
      </c>
    </row>
    <row r="9" spans="1:12" s="21" customFormat="1" ht="24.75" customHeight="1">
      <c r="A9" s="1125"/>
      <c r="B9" s="59" t="s">
        <v>45</v>
      </c>
      <c r="C9" s="67">
        <v>47.06</v>
      </c>
      <c r="D9" s="703">
        <v>1.083</v>
      </c>
      <c r="E9" s="66"/>
      <c r="F9" s="67">
        <v>42.5</v>
      </c>
      <c r="G9" s="703">
        <v>0</v>
      </c>
      <c r="L9" s="704">
        <v>1</v>
      </c>
    </row>
    <row r="10" spans="1:12" s="21" customFormat="1" ht="24.75" customHeight="1">
      <c r="A10" s="1126"/>
      <c r="B10" s="61" t="s">
        <v>183</v>
      </c>
      <c r="C10" s="171"/>
      <c r="D10" s="69">
        <f>SUM(D6:D9)</f>
        <v>22.832999999999998</v>
      </c>
      <c r="E10" s="68"/>
      <c r="F10" s="171"/>
      <c r="G10" s="69">
        <f>SUM(G6:G9)</f>
        <v>7.82</v>
      </c>
      <c r="H10" s="385">
        <f>D10+D11+D12+D15</f>
        <v>26.787000000000003</v>
      </c>
      <c r="L10" s="67">
        <v>0.13</v>
      </c>
    </row>
    <row r="11" spans="1:12" s="21" customFormat="1" ht="24.75" customHeight="1">
      <c r="A11" s="132" t="s">
        <v>200</v>
      </c>
      <c r="B11" s="60" t="s">
        <v>41</v>
      </c>
      <c r="C11" s="72">
        <v>491.51</v>
      </c>
      <c r="D11" s="706">
        <v>2.44</v>
      </c>
      <c r="E11" s="71"/>
      <c r="F11" s="72">
        <v>490.11</v>
      </c>
      <c r="G11" s="706">
        <v>2.23</v>
      </c>
      <c r="J11" s="385">
        <f>G10+G11+G12+G13+G14</f>
        <v>11.510000000000002</v>
      </c>
      <c r="L11" s="385">
        <f>SUM(L3:L10)</f>
        <v>11.510000000000002</v>
      </c>
    </row>
    <row r="12" spans="1:12" s="21" customFormat="1" ht="24.75" customHeight="1">
      <c r="A12" s="61" t="s">
        <v>54</v>
      </c>
      <c r="B12" s="61" t="s">
        <v>55</v>
      </c>
      <c r="C12" s="74">
        <v>117.24</v>
      </c>
      <c r="D12" s="69">
        <v>0.42</v>
      </c>
      <c r="E12" s="73"/>
      <c r="F12" s="74">
        <v>115.22</v>
      </c>
      <c r="G12" s="69">
        <v>0.33</v>
      </c>
    </row>
    <row r="13" spans="1:12" s="21" customFormat="1" ht="24.75" customHeight="1">
      <c r="A13" s="1124" t="s">
        <v>176</v>
      </c>
      <c r="B13" s="57" t="s">
        <v>42</v>
      </c>
      <c r="C13" s="63">
        <v>461.11</v>
      </c>
      <c r="D13" s="704">
        <v>0.99199999999999999</v>
      </c>
      <c r="E13" s="62"/>
      <c r="F13" s="63">
        <v>461.43</v>
      </c>
      <c r="G13" s="704">
        <v>1</v>
      </c>
    </row>
    <row r="14" spans="1:12" s="21" customFormat="1" ht="24.75" customHeight="1">
      <c r="A14" s="1125"/>
      <c r="B14" s="59" t="s">
        <v>33</v>
      </c>
      <c r="C14" s="67">
        <v>88.97</v>
      </c>
      <c r="D14" s="67">
        <v>0.10199999999999999</v>
      </c>
      <c r="E14" s="75"/>
      <c r="F14" s="67">
        <v>89.93</v>
      </c>
      <c r="G14" s="67">
        <v>0.13</v>
      </c>
    </row>
    <row r="15" spans="1:12" s="21" customFormat="1" ht="24.75" customHeight="1">
      <c r="A15" s="1126"/>
      <c r="B15" s="61" t="s">
        <v>183</v>
      </c>
      <c r="C15" s="171"/>
      <c r="D15" s="69">
        <f>SUM(D13:D14)</f>
        <v>1.0940000000000001</v>
      </c>
      <c r="E15" s="68"/>
      <c r="F15" s="171"/>
      <c r="G15" s="69">
        <f>SUM(G13:G14)</f>
        <v>1.1299999999999999</v>
      </c>
    </row>
    <row r="16" spans="1:12" s="21" customFormat="1" ht="24.75" customHeight="1" thickBot="1">
      <c r="A16" s="1123" t="s">
        <v>330</v>
      </c>
      <c r="B16" s="1123"/>
      <c r="C16" s="504"/>
      <c r="D16" s="705">
        <v>26.79</v>
      </c>
      <c r="E16" s="505"/>
      <c r="F16" s="504"/>
      <c r="G16" s="705">
        <f>G6+G7+G8+G9+G11+G12+G15</f>
        <v>11.510000000000002</v>
      </c>
    </row>
    <row r="17" spans="1:18" s="22" customFormat="1" ht="9" customHeight="1" thickTop="1">
      <c r="A17" s="101"/>
      <c r="B17" s="101"/>
      <c r="C17" s="70"/>
      <c r="D17" s="70"/>
      <c r="E17" s="70"/>
      <c r="F17" s="87"/>
      <c r="G17" s="100"/>
    </row>
    <row r="18" spans="1:18" s="21" customFormat="1" ht="24.75" customHeight="1">
      <c r="A18" s="405" t="s">
        <v>4</v>
      </c>
      <c r="B18" s="513"/>
      <c r="C18" s="99"/>
      <c r="D18" s="99"/>
      <c r="E18" s="99"/>
      <c r="F18" s="23"/>
      <c r="G18" s="23"/>
    </row>
    <row r="19" spans="1:18" s="21" customFormat="1" ht="24.75" customHeight="1">
      <c r="A19" s="1117"/>
      <c r="B19" s="1117"/>
      <c r="C19" s="1117"/>
      <c r="D19" s="1117"/>
      <c r="E19" s="1117"/>
      <c r="F19" s="405"/>
      <c r="G19" s="43"/>
    </row>
    <row r="20" spans="1:18" s="21" customFormat="1" ht="24.75" customHeight="1">
      <c r="B20" s="405"/>
      <c r="C20" s="405"/>
      <c r="D20" s="405"/>
      <c r="E20" s="405"/>
      <c r="F20" s="405"/>
      <c r="G20" s="43"/>
    </row>
    <row r="21" spans="1:18" ht="22.5" customHeight="1">
      <c r="A21" s="405"/>
      <c r="B21" s="405"/>
      <c r="C21" s="405"/>
      <c r="D21" s="405"/>
      <c r="E21" s="405"/>
      <c r="F21" s="24"/>
      <c r="G21" s="10"/>
    </row>
    <row r="22" spans="1:18" ht="22.5" customHeight="1">
      <c r="A22" s="1122" t="s">
        <v>204</v>
      </c>
      <c r="B22" s="1122"/>
      <c r="C22" s="410"/>
      <c r="D22" s="411"/>
      <c r="E22" s="411"/>
      <c r="F22" s="37"/>
      <c r="G22" s="630">
        <v>27</v>
      </c>
      <c r="H22" s="5"/>
      <c r="I22" s="5"/>
      <c r="J22" s="5"/>
      <c r="K22" s="5"/>
      <c r="L22" s="5"/>
      <c r="M22" s="5"/>
      <c r="N22" s="5"/>
      <c r="O22" s="5"/>
      <c r="P22" s="5"/>
      <c r="R22" s="7"/>
    </row>
    <row r="23" spans="1:18">
      <c r="C23" s="1121"/>
      <c r="D23" s="1121"/>
      <c r="E23" s="377"/>
      <c r="F23" s="12"/>
      <c r="G23" s="12"/>
    </row>
    <row r="24" spans="1:18">
      <c r="A24" s="97"/>
      <c r="B24" s="97"/>
      <c r="C24" s="12"/>
      <c r="D24" s="12"/>
      <c r="E24" s="12"/>
    </row>
  </sheetData>
  <mergeCells count="12">
    <mergeCell ref="A1:G1"/>
    <mergeCell ref="A2:G2"/>
    <mergeCell ref="A4:A5"/>
    <mergeCell ref="B4:B5"/>
    <mergeCell ref="C4:D4"/>
    <mergeCell ref="F4:G4"/>
    <mergeCell ref="C23:D23"/>
    <mergeCell ref="A22:B22"/>
    <mergeCell ref="A19:E19"/>
    <mergeCell ref="A16:B16"/>
    <mergeCell ref="A6:A10"/>
    <mergeCell ref="A13:A15"/>
  </mergeCells>
  <printOptions horizontalCentered="1"/>
  <pageMargins left="0.45" right="0.45" top="0.5" bottom="0.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AH24"/>
  <sheetViews>
    <sheetView rightToLeft="1" view="pageBreakPreview" zoomScaleNormal="100" zoomScaleSheetLayoutView="100" workbookViewId="0">
      <selection activeCell="G10" sqref="G10"/>
    </sheetView>
  </sheetViews>
  <sheetFormatPr defaultColWidth="8.7109375" defaultRowHeight="15"/>
  <cols>
    <col min="1" max="1" width="13.5703125" customWidth="1"/>
    <col min="2" max="5" width="9" customWidth="1"/>
    <col min="6" max="13" width="8" customWidth="1"/>
    <col min="14" max="16" width="10" customWidth="1"/>
    <col min="17" max="17" width="16" style="12" customWidth="1"/>
    <col min="31" max="31" width="9.140625" customWidth="1"/>
    <col min="32" max="32" width="13.140625" customWidth="1"/>
    <col min="34" max="34" width="10.42578125" bestFit="1" customWidth="1"/>
  </cols>
  <sheetData>
    <row r="1" spans="1:34" ht="27.75" customHeight="1">
      <c r="A1" s="1118" t="s">
        <v>595</v>
      </c>
      <c r="B1" s="1118"/>
      <c r="C1" s="1118"/>
      <c r="D1" s="1118"/>
      <c r="E1" s="1118"/>
      <c r="F1" s="1118"/>
      <c r="G1" s="1118"/>
      <c r="H1" s="1118"/>
      <c r="I1" s="1118"/>
      <c r="J1" s="1118"/>
      <c r="K1" s="1118"/>
      <c r="L1" s="1118"/>
      <c r="M1" s="1118"/>
      <c r="N1" s="1118"/>
      <c r="O1" s="1118"/>
    </row>
    <row r="2" spans="1:34" ht="27.75" customHeight="1" thickBot="1">
      <c r="A2" s="510" t="s">
        <v>366</v>
      </c>
      <c r="B2" s="510"/>
      <c r="C2" s="510"/>
      <c r="D2" s="510"/>
      <c r="E2" s="510"/>
      <c r="F2" s="510"/>
      <c r="G2" s="510"/>
      <c r="H2" s="510"/>
      <c r="I2" s="510"/>
      <c r="J2" s="510"/>
      <c r="O2" s="414"/>
      <c r="P2" s="414"/>
      <c r="Q2" s="603"/>
    </row>
    <row r="3" spans="1:34" ht="32.25" customHeight="1" thickTop="1">
      <c r="A3" s="1068" t="s">
        <v>0</v>
      </c>
      <c r="B3" s="1111" t="s">
        <v>451</v>
      </c>
      <c r="C3" s="1111"/>
      <c r="D3" s="1111"/>
      <c r="E3" s="1111"/>
      <c r="F3" s="1111"/>
      <c r="G3" s="1111"/>
      <c r="H3" s="1111"/>
      <c r="I3" s="1111"/>
      <c r="J3" s="1111"/>
      <c r="K3" s="1111"/>
      <c r="L3" s="1111"/>
      <c r="M3" s="1111"/>
      <c r="N3" s="1129" t="s">
        <v>23</v>
      </c>
      <c r="O3" s="1129" t="s">
        <v>609</v>
      </c>
      <c r="P3" s="1129" t="s">
        <v>610</v>
      </c>
      <c r="Q3" s="601"/>
    </row>
    <row r="4" spans="1:34" ht="32.25" customHeight="1">
      <c r="A4" s="1069"/>
      <c r="B4" s="152" t="s">
        <v>46</v>
      </c>
      <c r="C4" s="152" t="s">
        <v>47</v>
      </c>
      <c r="D4" s="152" t="s">
        <v>48</v>
      </c>
      <c r="E4" s="152" t="s">
        <v>49</v>
      </c>
      <c r="F4" s="152" t="s">
        <v>10</v>
      </c>
      <c r="G4" s="152" t="s">
        <v>18</v>
      </c>
      <c r="H4" s="152" t="s">
        <v>12</v>
      </c>
      <c r="I4" s="152" t="s">
        <v>13</v>
      </c>
      <c r="J4" s="152" t="s">
        <v>14</v>
      </c>
      <c r="K4" s="152" t="s">
        <v>15</v>
      </c>
      <c r="L4" s="152" t="s">
        <v>19</v>
      </c>
      <c r="M4" s="152" t="s">
        <v>17</v>
      </c>
      <c r="N4" s="1130"/>
      <c r="O4" s="1130"/>
      <c r="P4" s="1130"/>
      <c r="Q4" s="602"/>
    </row>
    <row r="5" spans="1:34" ht="23.25" customHeight="1">
      <c r="A5" s="721" t="s">
        <v>394</v>
      </c>
      <c r="B5" s="726">
        <v>195</v>
      </c>
      <c r="C5" s="726">
        <v>190</v>
      </c>
      <c r="D5" s="726">
        <v>209</v>
      </c>
      <c r="E5" s="726">
        <v>213</v>
      </c>
      <c r="F5" s="726">
        <v>238</v>
      </c>
      <c r="G5" s="726">
        <v>374</v>
      </c>
      <c r="H5" s="726">
        <v>332</v>
      </c>
      <c r="I5" s="726">
        <v>321</v>
      </c>
      <c r="J5" s="726">
        <v>243</v>
      </c>
      <c r="K5" s="726">
        <v>319</v>
      </c>
      <c r="L5" s="726">
        <v>425</v>
      </c>
      <c r="M5" s="726">
        <v>378</v>
      </c>
      <c r="N5" s="726">
        <f t="shared" ref="N5:N20" si="0">SUM(B5:M5)</f>
        <v>3437</v>
      </c>
      <c r="O5" s="915">
        <f t="shared" ref="O5:O20" si="1">N5/12</f>
        <v>286.41666666666669</v>
      </c>
      <c r="P5" s="727">
        <f>N5*60*60*24*365/1000000000/12</f>
        <v>9.0324360000000006</v>
      </c>
      <c r="Q5" s="604"/>
      <c r="R5" s="726">
        <v>195</v>
      </c>
      <c r="S5" s="726">
        <v>190</v>
      </c>
      <c r="T5" s="726">
        <v>209</v>
      </c>
      <c r="U5" s="726">
        <v>213</v>
      </c>
      <c r="V5" s="726">
        <v>238</v>
      </c>
      <c r="W5" s="726">
        <v>374</v>
      </c>
      <c r="X5" s="726">
        <v>332</v>
      </c>
      <c r="Y5" s="726">
        <v>321</v>
      </c>
      <c r="Z5" s="726">
        <v>243</v>
      </c>
      <c r="AA5" s="726">
        <v>319</v>
      </c>
      <c r="AB5" s="726">
        <v>425</v>
      </c>
      <c r="AC5" s="726">
        <v>378</v>
      </c>
      <c r="AD5">
        <f t="shared" ref="AD5:AD20" si="2">SUM(R5:AC5)</f>
        <v>3437</v>
      </c>
      <c r="AE5" s="920">
        <f>AD5/12</f>
        <v>286.41666666666669</v>
      </c>
      <c r="AF5">
        <f>AD5*60*60*24*365</f>
        <v>108389232000</v>
      </c>
      <c r="AG5">
        <f>AF5/1000000000</f>
        <v>108.38923200000001</v>
      </c>
      <c r="AH5" s="8">
        <f>AG5/12</f>
        <v>9.0324360000000006</v>
      </c>
    </row>
    <row r="6" spans="1:34" ht="23.25" customHeight="1">
      <c r="A6" s="722" t="s">
        <v>395</v>
      </c>
      <c r="B6" s="728">
        <v>400</v>
      </c>
      <c r="C6" s="728">
        <v>400</v>
      </c>
      <c r="D6" s="728">
        <v>345</v>
      </c>
      <c r="E6" s="728">
        <v>261</v>
      </c>
      <c r="F6" s="728">
        <v>250</v>
      </c>
      <c r="G6" s="728">
        <v>244</v>
      </c>
      <c r="H6" s="728">
        <v>199</v>
      </c>
      <c r="I6" s="728">
        <v>175</v>
      </c>
      <c r="J6" s="728">
        <v>264</v>
      </c>
      <c r="K6" s="728">
        <v>428</v>
      </c>
      <c r="L6" s="728">
        <v>481</v>
      </c>
      <c r="M6" s="728">
        <v>495</v>
      </c>
      <c r="N6" s="1008">
        <f t="shared" si="0"/>
        <v>3942</v>
      </c>
      <c r="O6" s="916">
        <f t="shared" si="1"/>
        <v>328.5</v>
      </c>
      <c r="P6" s="921">
        <f t="shared" ref="P6:P20" si="3">N6*60*60*24*365/1000000000/12</f>
        <v>10.359576000000001</v>
      </c>
      <c r="Q6" s="605"/>
      <c r="R6" s="728">
        <v>400</v>
      </c>
      <c r="S6" s="728">
        <v>400</v>
      </c>
      <c r="T6" s="728">
        <v>345</v>
      </c>
      <c r="U6" s="728">
        <v>261</v>
      </c>
      <c r="V6" s="728">
        <v>250</v>
      </c>
      <c r="W6" s="728">
        <v>244</v>
      </c>
      <c r="X6" s="728">
        <v>199</v>
      </c>
      <c r="Y6" s="728">
        <v>175</v>
      </c>
      <c r="Z6" s="728">
        <v>264</v>
      </c>
      <c r="AA6" s="728">
        <v>428</v>
      </c>
      <c r="AB6" s="728">
        <v>481</v>
      </c>
      <c r="AC6" s="728">
        <v>495</v>
      </c>
      <c r="AD6" s="8">
        <f t="shared" si="2"/>
        <v>3942</v>
      </c>
      <c r="AE6" s="920">
        <f t="shared" ref="AE6:AE20" si="4">AD6/12</f>
        <v>328.5</v>
      </c>
      <c r="AF6">
        <f t="shared" ref="AF6:AF20" si="5">AD6*60*60*24*365</f>
        <v>124314912000</v>
      </c>
      <c r="AG6">
        <f t="shared" ref="AG6:AG20" si="6">AF6/1000000000</f>
        <v>124.31491200000001</v>
      </c>
      <c r="AH6" s="8">
        <f t="shared" ref="AH6:AH20" si="7">AG6/12</f>
        <v>10.359576000000001</v>
      </c>
    </row>
    <row r="7" spans="1:34" ht="23.25" customHeight="1">
      <c r="A7" s="596" t="s">
        <v>396</v>
      </c>
      <c r="B7" s="125">
        <v>6</v>
      </c>
      <c r="C7" s="125">
        <v>9</v>
      </c>
      <c r="D7" s="125">
        <v>41</v>
      </c>
      <c r="E7" s="125">
        <v>137</v>
      </c>
      <c r="F7" s="125">
        <v>174</v>
      </c>
      <c r="G7" s="125">
        <v>192</v>
      </c>
      <c r="H7" s="125">
        <v>108</v>
      </c>
      <c r="I7" s="125">
        <v>89</v>
      </c>
      <c r="J7" s="125">
        <v>52</v>
      </c>
      <c r="K7" s="125">
        <v>38</v>
      </c>
      <c r="L7" s="125">
        <v>34</v>
      </c>
      <c r="M7" s="125">
        <v>4</v>
      </c>
      <c r="N7" s="1009">
        <f t="shared" si="0"/>
        <v>884</v>
      </c>
      <c r="O7" s="917">
        <f t="shared" si="1"/>
        <v>73.666666666666671</v>
      </c>
      <c r="P7" s="126">
        <f t="shared" si="3"/>
        <v>2.3231519999999999</v>
      </c>
      <c r="Q7" s="606"/>
      <c r="R7" s="125">
        <v>6</v>
      </c>
      <c r="S7" s="125">
        <v>9</v>
      </c>
      <c r="T7" s="125">
        <v>41</v>
      </c>
      <c r="U7" s="125">
        <v>137</v>
      </c>
      <c r="V7" s="125">
        <v>174</v>
      </c>
      <c r="W7" s="125">
        <v>192</v>
      </c>
      <c r="X7" s="125">
        <v>108</v>
      </c>
      <c r="Y7" s="125">
        <v>89</v>
      </c>
      <c r="Z7" s="125">
        <v>52</v>
      </c>
      <c r="AA7" s="125">
        <v>38</v>
      </c>
      <c r="AB7" s="125">
        <v>34</v>
      </c>
      <c r="AC7" s="125">
        <v>4</v>
      </c>
      <c r="AD7" s="8">
        <f t="shared" si="2"/>
        <v>884</v>
      </c>
      <c r="AE7" s="920">
        <f t="shared" si="4"/>
        <v>73.666666666666671</v>
      </c>
      <c r="AF7">
        <f t="shared" ref="AF7:AF14" si="8">AD7*60*60*24*365</f>
        <v>27877824000</v>
      </c>
      <c r="AG7">
        <f t="shared" ref="AG7:AG14" si="9">AF7/1000000000</f>
        <v>27.877824</v>
      </c>
      <c r="AH7" s="8">
        <f t="shared" ref="AH7:AH14" si="10">AG7/12</f>
        <v>2.3231519999999999</v>
      </c>
    </row>
    <row r="8" spans="1:34" ht="23.25" customHeight="1">
      <c r="A8" s="722" t="s">
        <v>397</v>
      </c>
      <c r="B8" s="50">
        <v>77</v>
      </c>
      <c r="C8" s="50">
        <v>68</v>
      </c>
      <c r="D8" s="50">
        <v>64</v>
      </c>
      <c r="E8" s="50">
        <v>69</v>
      </c>
      <c r="F8" s="50">
        <v>67</v>
      </c>
      <c r="G8" s="50">
        <v>69</v>
      </c>
      <c r="H8" s="50">
        <v>76</v>
      </c>
      <c r="I8" s="50">
        <v>68</v>
      </c>
      <c r="J8" s="50">
        <v>69</v>
      </c>
      <c r="K8" s="50">
        <v>87</v>
      </c>
      <c r="L8" s="50">
        <v>139</v>
      </c>
      <c r="M8" s="50">
        <v>102</v>
      </c>
      <c r="N8" s="1010">
        <f t="shared" si="0"/>
        <v>955</v>
      </c>
      <c r="O8" s="918">
        <f t="shared" si="1"/>
        <v>79.583333333333329</v>
      </c>
      <c r="P8" s="52">
        <f t="shared" si="3"/>
        <v>2.5097399999999999</v>
      </c>
      <c r="Q8" s="605"/>
      <c r="R8" s="50">
        <v>77</v>
      </c>
      <c r="S8" s="50">
        <v>68</v>
      </c>
      <c r="T8" s="50">
        <v>64</v>
      </c>
      <c r="U8" s="50">
        <v>69</v>
      </c>
      <c r="V8" s="50">
        <v>67</v>
      </c>
      <c r="W8" s="50">
        <v>69</v>
      </c>
      <c r="X8" s="50">
        <v>76</v>
      </c>
      <c r="Y8" s="50">
        <v>68</v>
      </c>
      <c r="Z8" s="50">
        <v>69</v>
      </c>
      <c r="AA8" s="50">
        <v>87</v>
      </c>
      <c r="AB8" s="50">
        <v>139</v>
      </c>
      <c r="AC8" s="50">
        <v>102</v>
      </c>
      <c r="AD8" s="8">
        <f t="shared" si="2"/>
        <v>955</v>
      </c>
      <c r="AE8" s="920">
        <f t="shared" si="4"/>
        <v>79.583333333333329</v>
      </c>
      <c r="AF8">
        <f t="shared" si="8"/>
        <v>30116880000</v>
      </c>
      <c r="AG8">
        <f t="shared" si="9"/>
        <v>30.116879999999998</v>
      </c>
      <c r="AH8" s="8">
        <f t="shared" si="10"/>
        <v>2.5097399999999999</v>
      </c>
    </row>
    <row r="9" spans="1:34" ht="23.25" customHeight="1">
      <c r="A9" s="721" t="s">
        <v>400</v>
      </c>
      <c r="B9" s="124">
        <v>0</v>
      </c>
      <c r="C9" s="124">
        <v>0</v>
      </c>
      <c r="D9" s="728">
        <v>19</v>
      </c>
      <c r="E9" s="728">
        <v>26</v>
      </c>
      <c r="F9" s="728">
        <v>0</v>
      </c>
      <c r="G9" s="728">
        <v>37</v>
      </c>
      <c r="H9" s="728">
        <v>168</v>
      </c>
      <c r="I9" s="728">
        <v>138</v>
      </c>
      <c r="J9" s="728">
        <v>0</v>
      </c>
      <c r="K9" s="728">
        <v>0</v>
      </c>
      <c r="L9" s="728">
        <v>0</v>
      </c>
      <c r="M9" s="728">
        <v>0</v>
      </c>
      <c r="N9" s="1007">
        <f t="shared" si="0"/>
        <v>388</v>
      </c>
      <c r="O9" s="916">
        <f t="shared" si="1"/>
        <v>32.333333333333336</v>
      </c>
      <c r="P9" s="921">
        <f t="shared" si="3"/>
        <v>1.0196639999999999</v>
      </c>
      <c r="Q9" s="605"/>
      <c r="R9" s="124">
        <v>0</v>
      </c>
      <c r="S9" s="124">
        <v>0</v>
      </c>
      <c r="T9" s="728">
        <v>19</v>
      </c>
      <c r="U9" s="728">
        <v>26</v>
      </c>
      <c r="V9" s="728">
        <v>0</v>
      </c>
      <c r="W9" s="728">
        <v>37</v>
      </c>
      <c r="X9" s="728">
        <v>168</v>
      </c>
      <c r="Y9" s="728">
        <v>138</v>
      </c>
      <c r="Z9" s="728">
        <v>0</v>
      </c>
      <c r="AA9" s="728">
        <v>0</v>
      </c>
      <c r="AB9" s="728">
        <v>0</v>
      </c>
      <c r="AC9" s="728">
        <v>0</v>
      </c>
      <c r="AD9" s="8">
        <f t="shared" si="2"/>
        <v>388</v>
      </c>
      <c r="AE9" s="920">
        <f t="shared" si="4"/>
        <v>32.333333333333336</v>
      </c>
      <c r="AF9">
        <f t="shared" si="8"/>
        <v>12235968000</v>
      </c>
      <c r="AG9">
        <f t="shared" si="9"/>
        <v>12.235968</v>
      </c>
      <c r="AH9" s="8">
        <f t="shared" si="10"/>
        <v>1.0196639999999999</v>
      </c>
    </row>
    <row r="10" spans="1:34" ht="23.25" customHeight="1">
      <c r="A10" s="722" t="s">
        <v>401</v>
      </c>
      <c r="B10" s="50">
        <v>484</v>
      </c>
      <c r="C10" s="50">
        <v>400</v>
      </c>
      <c r="D10" s="50">
        <v>269</v>
      </c>
      <c r="E10" s="50">
        <v>164</v>
      </c>
      <c r="F10" s="50">
        <v>197</v>
      </c>
      <c r="G10" s="50">
        <v>215</v>
      </c>
      <c r="H10" s="50">
        <v>134</v>
      </c>
      <c r="I10" s="50">
        <v>153</v>
      </c>
      <c r="J10" s="50">
        <v>177</v>
      </c>
      <c r="K10" s="50">
        <v>152</v>
      </c>
      <c r="L10" s="50">
        <v>120</v>
      </c>
      <c r="M10" s="50">
        <v>89</v>
      </c>
      <c r="N10" s="1008">
        <f t="shared" si="0"/>
        <v>2554</v>
      </c>
      <c r="O10" s="918">
        <f t="shared" si="1"/>
        <v>212.83333333333334</v>
      </c>
      <c r="P10" s="52">
        <f t="shared" si="3"/>
        <v>6.7119120000000008</v>
      </c>
      <c r="Q10" s="605"/>
      <c r="R10" s="50">
        <v>484</v>
      </c>
      <c r="S10" s="50">
        <v>400</v>
      </c>
      <c r="T10" s="50">
        <v>269</v>
      </c>
      <c r="U10" s="50">
        <v>164</v>
      </c>
      <c r="V10" s="50">
        <v>197</v>
      </c>
      <c r="W10" s="50">
        <v>215</v>
      </c>
      <c r="X10" s="50">
        <v>134</v>
      </c>
      <c r="Y10" s="50">
        <v>153</v>
      </c>
      <c r="Z10" s="50">
        <v>177</v>
      </c>
      <c r="AA10" s="50">
        <v>152</v>
      </c>
      <c r="AB10" s="50">
        <v>120</v>
      </c>
      <c r="AC10" s="50">
        <v>89</v>
      </c>
      <c r="AD10" s="8">
        <f t="shared" si="2"/>
        <v>2554</v>
      </c>
      <c r="AE10" s="920">
        <f t="shared" si="4"/>
        <v>212.83333333333334</v>
      </c>
      <c r="AF10">
        <f t="shared" si="8"/>
        <v>80542944000</v>
      </c>
      <c r="AG10">
        <f t="shared" si="9"/>
        <v>80.542944000000006</v>
      </c>
      <c r="AH10" s="8">
        <f t="shared" si="10"/>
        <v>6.7119120000000008</v>
      </c>
    </row>
    <row r="11" spans="1:34" ht="23.25" customHeight="1">
      <c r="A11" s="721" t="s">
        <v>398</v>
      </c>
      <c r="B11" s="125">
        <v>1</v>
      </c>
      <c r="C11" s="125">
        <v>6</v>
      </c>
      <c r="D11" s="125">
        <v>32</v>
      </c>
      <c r="E11" s="125">
        <v>47</v>
      </c>
      <c r="F11" s="125">
        <v>17</v>
      </c>
      <c r="G11" s="125">
        <v>10</v>
      </c>
      <c r="H11" s="125">
        <v>2</v>
      </c>
      <c r="I11" s="125">
        <v>10</v>
      </c>
      <c r="J11" s="125">
        <v>1</v>
      </c>
      <c r="K11" s="125">
        <v>1</v>
      </c>
      <c r="L11" s="125">
        <v>1</v>
      </c>
      <c r="M11" s="125">
        <v>1</v>
      </c>
      <c r="N11" s="1009">
        <f t="shared" si="0"/>
        <v>129</v>
      </c>
      <c r="O11" s="917">
        <f t="shared" si="1"/>
        <v>10.75</v>
      </c>
      <c r="P11" s="126">
        <f t="shared" si="3"/>
        <v>0.33901200000000004</v>
      </c>
      <c r="Q11" s="605"/>
      <c r="R11" s="125">
        <v>1</v>
      </c>
      <c r="S11" s="125">
        <v>6</v>
      </c>
      <c r="T11" s="125">
        <v>32</v>
      </c>
      <c r="U11" s="125">
        <v>47</v>
      </c>
      <c r="V11" s="125">
        <v>17</v>
      </c>
      <c r="W11" s="125">
        <v>10</v>
      </c>
      <c r="X11" s="125">
        <v>2</v>
      </c>
      <c r="Y11" s="125">
        <v>10</v>
      </c>
      <c r="Z11" s="125">
        <v>1</v>
      </c>
      <c r="AA11" s="125">
        <v>1</v>
      </c>
      <c r="AB11" s="125">
        <v>1</v>
      </c>
      <c r="AC11" s="125">
        <v>1</v>
      </c>
      <c r="AD11" s="8">
        <f t="shared" si="2"/>
        <v>129</v>
      </c>
      <c r="AE11" s="920">
        <f t="shared" si="4"/>
        <v>10.75</v>
      </c>
      <c r="AF11">
        <f t="shared" si="8"/>
        <v>4068144000</v>
      </c>
      <c r="AG11">
        <f t="shared" si="9"/>
        <v>4.0681440000000002</v>
      </c>
      <c r="AH11" s="8">
        <f t="shared" si="10"/>
        <v>0.33901200000000004</v>
      </c>
    </row>
    <row r="12" spans="1:34" ht="23.25" customHeight="1">
      <c r="A12" s="722" t="s">
        <v>399</v>
      </c>
      <c r="B12" s="124">
        <v>10</v>
      </c>
      <c r="C12" s="124">
        <v>10</v>
      </c>
      <c r="D12" s="728">
        <v>10</v>
      </c>
      <c r="E12" s="728">
        <v>10</v>
      </c>
      <c r="F12" s="728">
        <v>11</v>
      </c>
      <c r="G12" s="728">
        <v>14</v>
      </c>
      <c r="H12" s="728">
        <v>20</v>
      </c>
      <c r="I12" s="728">
        <v>11</v>
      </c>
      <c r="J12" s="728">
        <v>9</v>
      </c>
      <c r="K12" s="728">
        <v>9</v>
      </c>
      <c r="L12" s="728">
        <v>9</v>
      </c>
      <c r="M12" s="728">
        <v>9</v>
      </c>
      <c r="N12" s="1010">
        <f t="shared" si="0"/>
        <v>132</v>
      </c>
      <c r="O12" s="916">
        <f t="shared" si="1"/>
        <v>11</v>
      </c>
      <c r="P12" s="921">
        <f t="shared" si="3"/>
        <v>0.34689600000000004</v>
      </c>
      <c r="Q12" s="605"/>
      <c r="R12" s="124">
        <v>10</v>
      </c>
      <c r="S12" s="124">
        <v>10</v>
      </c>
      <c r="T12" s="728">
        <v>10</v>
      </c>
      <c r="U12" s="728">
        <v>10</v>
      </c>
      <c r="V12" s="728">
        <v>11</v>
      </c>
      <c r="W12" s="728">
        <v>14</v>
      </c>
      <c r="X12" s="728">
        <v>20</v>
      </c>
      <c r="Y12" s="728">
        <v>11</v>
      </c>
      <c r="Z12" s="728">
        <v>9</v>
      </c>
      <c r="AA12" s="728">
        <v>9</v>
      </c>
      <c r="AB12" s="728">
        <v>9</v>
      </c>
      <c r="AC12" s="728">
        <v>9</v>
      </c>
      <c r="AD12" s="8">
        <f t="shared" si="2"/>
        <v>132</v>
      </c>
      <c r="AE12" s="920">
        <f t="shared" si="4"/>
        <v>11</v>
      </c>
      <c r="AF12">
        <f t="shared" si="8"/>
        <v>4162752000</v>
      </c>
      <c r="AG12">
        <f t="shared" si="9"/>
        <v>4.1627520000000002</v>
      </c>
      <c r="AH12" s="8">
        <f t="shared" si="10"/>
        <v>0.34689600000000004</v>
      </c>
    </row>
    <row r="13" spans="1:34" ht="23.25" customHeight="1">
      <c r="A13" s="721" t="s">
        <v>402</v>
      </c>
      <c r="B13" s="914">
        <v>10</v>
      </c>
      <c r="C13" s="125">
        <v>17</v>
      </c>
      <c r="D13" s="125">
        <v>25</v>
      </c>
      <c r="E13" s="125">
        <v>63</v>
      </c>
      <c r="F13" s="125">
        <v>75</v>
      </c>
      <c r="G13" s="125">
        <v>73</v>
      </c>
      <c r="H13" s="125">
        <v>28</v>
      </c>
      <c r="I13" s="125">
        <v>29</v>
      </c>
      <c r="J13" s="125">
        <v>21</v>
      </c>
      <c r="K13" s="125">
        <v>18</v>
      </c>
      <c r="L13" s="125">
        <v>24</v>
      </c>
      <c r="M13" s="125">
        <v>7</v>
      </c>
      <c r="N13" s="1007">
        <f t="shared" si="0"/>
        <v>390</v>
      </c>
      <c r="O13" s="917">
        <f t="shared" si="1"/>
        <v>32.5</v>
      </c>
      <c r="P13" s="126">
        <f t="shared" si="3"/>
        <v>1.0249200000000001</v>
      </c>
      <c r="Q13" s="605"/>
      <c r="R13" s="914">
        <v>10</v>
      </c>
      <c r="S13" s="125">
        <v>17</v>
      </c>
      <c r="T13" s="125">
        <v>25</v>
      </c>
      <c r="U13" s="125">
        <v>63</v>
      </c>
      <c r="V13" s="125">
        <v>75</v>
      </c>
      <c r="W13" s="125">
        <v>73</v>
      </c>
      <c r="X13" s="125">
        <v>28</v>
      </c>
      <c r="Y13" s="125">
        <v>29</v>
      </c>
      <c r="Z13" s="125">
        <v>21</v>
      </c>
      <c r="AA13" s="125">
        <v>18</v>
      </c>
      <c r="AB13" s="125">
        <v>24</v>
      </c>
      <c r="AC13" s="125">
        <v>7</v>
      </c>
      <c r="AD13" s="8">
        <f t="shared" si="2"/>
        <v>390</v>
      </c>
      <c r="AE13" s="920">
        <f t="shared" si="4"/>
        <v>32.5</v>
      </c>
      <c r="AF13">
        <f t="shared" si="8"/>
        <v>12299040000</v>
      </c>
      <c r="AG13">
        <f t="shared" si="9"/>
        <v>12.29904</v>
      </c>
      <c r="AH13" s="8">
        <f t="shared" si="10"/>
        <v>1.0249200000000001</v>
      </c>
    </row>
    <row r="14" spans="1:34" ht="23.25" customHeight="1">
      <c r="A14" s="597" t="s">
        <v>403</v>
      </c>
      <c r="B14" s="50">
        <v>38</v>
      </c>
      <c r="C14" s="50">
        <v>25</v>
      </c>
      <c r="D14" s="50">
        <v>24</v>
      </c>
      <c r="E14" s="50">
        <v>21</v>
      </c>
      <c r="F14" s="50">
        <v>15</v>
      </c>
      <c r="G14" s="50">
        <v>22</v>
      </c>
      <c r="H14" s="50">
        <v>28</v>
      </c>
      <c r="I14" s="50">
        <v>57</v>
      </c>
      <c r="J14" s="50">
        <v>35</v>
      </c>
      <c r="K14" s="50">
        <v>39</v>
      </c>
      <c r="L14" s="50">
        <v>37</v>
      </c>
      <c r="M14" s="50">
        <v>40</v>
      </c>
      <c r="N14" s="1008">
        <f t="shared" si="0"/>
        <v>381</v>
      </c>
      <c r="O14" s="918">
        <f t="shared" si="1"/>
        <v>31.75</v>
      </c>
      <c r="P14" s="52">
        <f t="shared" si="3"/>
        <v>1.001268</v>
      </c>
      <c r="Q14" s="606"/>
      <c r="R14" s="50">
        <v>38</v>
      </c>
      <c r="S14" s="50">
        <v>25</v>
      </c>
      <c r="T14" s="50">
        <v>24</v>
      </c>
      <c r="U14" s="50">
        <v>21</v>
      </c>
      <c r="V14" s="50">
        <v>15</v>
      </c>
      <c r="W14" s="50">
        <v>22</v>
      </c>
      <c r="X14" s="50">
        <v>28</v>
      </c>
      <c r="Y14" s="50">
        <v>57</v>
      </c>
      <c r="Z14" s="50">
        <v>35</v>
      </c>
      <c r="AA14" s="50">
        <v>39</v>
      </c>
      <c r="AB14" s="50">
        <v>37</v>
      </c>
      <c r="AC14" s="50">
        <v>40</v>
      </c>
      <c r="AD14" s="8">
        <f t="shared" si="2"/>
        <v>381</v>
      </c>
      <c r="AE14" s="920">
        <f t="shared" si="4"/>
        <v>31.75</v>
      </c>
      <c r="AF14">
        <f t="shared" si="8"/>
        <v>12015216000</v>
      </c>
      <c r="AG14">
        <f t="shared" si="9"/>
        <v>12.015216000000001</v>
      </c>
      <c r="AH14" s="8">
        <f t="shared" si="10"/>
        <v>1.001268</v>
      </c>
    </row>
    <row r="15" spans="1:34" ht="23.25" customHeight="1">
      <c r="A15" s="721" t="s">
        <v>404</v>
      </c>
      <c r="B15" s="96">
        <v>38</v>
      </c>
      <c r="C15" s="125">
        <v>38</v>
      </c>
      <c r="D15" s="125">
        <v>29</v>
      </c>
      <c r="E15" s="125">
        <v>57</v>
      </c>
      <c r="F15" s="125">
        <v>34</v>
      </c>
      <c r="G15" s="125">
        <v>9</v>
      </c>
      <c r="H15" s="125">
        <v>7</v>
      </c>
      <c r="I15" s="125">
        <v>53</v>
      </c>
      <c r="J15" s="125">
        <v>30</v>
      </c>
      <c r="K15" s="125">
        <v>21</v>
      </c>
      <c r="L15" s="125">
        <v>21</v>
      </c>
      <c r="M15" s="125">
        <v>28</v>
      </c>
      <c r="N15" s="1009">
        <f t="shared" si="0"/>
        <v>365</v>
      </c>
      <c r="O15" s="917">
        <f t="shared" si="1"/>
        <v>30.416666666666668</v>
      </c>
      <c r="P15" s="126">
        <f t="shared" si="3"/>
        <v>0.95922000000000007</v>
      </c>
      <c r="Q15" s="605"/>
      <c r="R15" s="96">
        <v>38</v>
      </c>
      <c r="S15" s="125">
        <v>38</v>
      </c>
      <c r="T15" s="125">
        <v>29</v>
      </c>
      <c r="U15" s="125">
        <v>57</v>
      </c>
      <c r="V15" s="125">
        <v>34</v>
      </c>
      <c r="W15" s="125">
        <v>9</v>
      </c>
      <c r="X15" s="125">
        <v>7</v>
      </c>
      <c r="Y15" s="125">
        <v>53</v>
      </c>
      <c r="Z15" s="125">
        <v>30</v>
      </c>
      <c r="AA15" s="125">
        <v>21</v>
      </c>
      <c r="AB15" s="125">
        <v>21</v>
      </c>
      <c r="AC15" s="125">
        <v>28</v>
      </c>
      <c r="AD15" s="8">
        <f t="shared" si="2"/>
        <v>365</v>
      </c>
      <c r="AE15" s="920">
        <f t="shared" si="4"/>
        <v>30.416666666666668</v>
      </c>
      <c r="AF15">
        <f t="shared" si="5"/>
        <v>11510640000</v>
      </c>
      <c r="AG15">
        <f t="shared" si="6"/>
        <v>11.51064</v>
      </c>
      <c r="AH15" s="8">
        <f t="shared" si="7"/>
        <v>0.95922000000000007</v>
      </c>
    </row>
    <row r="16" spans="1:34" ht="23.25" customHeight="1">
      <c r="A16" s="722" t="s">
        <v>405</v>
      </c>
      <c r="B16" s="50">
        <v>30</v>
      </c>
      <c r="C16" s="50">
        <v>30</v>
      </c>
      <c r="D16" s="50">
        <v>30</v>
      </c>
      <c r="E16" s="50">
        <v>25</v>
      </c>
      <c r="F16" s="50">
        <v>25</v>
      </c>
      <c r="G16" s="50">
        <v>28</v>
      </c>
      <c r="H16" s="50">
        <v>31</v>
      </c>
      <c r="I16" s="50">
        <v>25</v>
      </c>
      <c r="J16" s="50">
        <v>26</v>
      </c>
      <c r="K16" s="50">
        <v>34</v>
      </c>
      <c r="L16" s="50">
        <v>35</v>
      </c>
      <c r="M16" s="50">
        <v>33</v>
      </c>
      <c r="N16" s="1010">
        <f t="shared" si="0"/>
        <v>352</v>
      </c>
      <c r="O16" s="918">
        <f t="shared" si="1"/>
        <v>29.333333333333332</v>
      </c>
      <c r="P16" s="52">
        <f t="shared" si="3"/>
        <v>0.92505599999999999</v>
      </c>
      <c r="Q16" s="605"/>
      <c r="R16" s="50">
        <v>30</v>
      </c>
      <c r="S16" s="50">
        <v>30</v>
      </c>
      <c r="T16" s="50">
        <v>30</v>
      </c>
      <c r="U16" s="50">
        <v>25</v>
      </c>
      <c r="V16" s="50">
        <v>25</v>
      </c>
      <c r="W16" s="50">
        <v>28</v>
      </c>
      <c r="X16" s="50">
        <v>31</v>
      </c>
      <c r="Y16" s="50">
        <v>25</v>
      </c>
      <c r="Z16" s="50">
        <v>26</v>
      </c>
      <c r="AA16" s="50">
        <v>34</v>
      </c>
      <c r="AB16" s="50">
        <v>35</v>
      </c>
      <c r="AC16" s="50">
        <v>33</v>
      </c>
      <c r="AD16" s="8">
        <f t="shared" si="2"/>
        <v>352</v>
      </c>
      <c r="AE16" s="920">
        <f t="shared" si="4"/>
        <v>29.333333333333332</v>
      </c>
      <c r="AF16">
        <f t="shared" si="5"/>
        <v>11100672000</v>
      </c>
      <c r="AG16">
        <f t="shared" si="6"/>
        <v>11.100671999999999</v>
      </c>
      <c r="AH16" s="8">
        <f t="shared" si="7"/>
        <v>0.92505599999999999</v>
      </c>
    </row>
    <row r="17" spans="1:34" ht="23.25" customHeight="1">
      <c r="A17" s="596" t="s">
        <v>406</v>
      </c>
      <c r="B17" s="125">
        <v>205</v>
      </c>
      <c r="C17" s="125">
        <v>195</v>
      </c>
      <c r="D17" s="125">
        <v>168</v>
      </c>
      <c r="E17" s="125">
        <v>197</v>
      </c>
      <c r="F17" s="125">
        <v>172</v>
      </c>
      <c r="G17" s="125">
        <v>182</v>
      </c>
      <c r="H17" s="125">
        <v>169</v>
      </c>
      <c r="I17" s="125">
        <v>267</v>
      </c>
      <c r="J17" s="125">
        <v>180</v>
      </c>
      <c r="K17" s="125">
        <v>171</v>
      </c>
      <c r="L17" s="125">
        <v>189</v>
      </c>
      <c r="M17" s="125">
        <v>231</v>
      </c>
      <c r="N17" s="1007">
        <f t="shared" si="0"/>
        <v>2326</v>
      </c>
      <c r="O17" s="917">
        <f t="shared" si="1"/>
        <v>193.83333333333334</v>
      </c>
      <c r="P17" s="126">
        <f t="shared" si="3"/>
        <v>6.1127279999999997</v>
      </c>
      <c r="Q17" s="605"/>
      <c r="R17" s="125">
        <v>205</v>
      </c>
      <c r="S17" s="125">
        <v>195</v>
      </c>
      <c r="T17" s="125">
        <v>168</v>
      </c>
      <c r="U17" s="125">
        <v>197</v>
      </c>
      <c r="V17" s="125">
        <v>172</v>
      </c>
      <c r="W17" s="125">
        <v>182</v>
      </c>
      <c r="X17" s="125">
        <v>169</v>
      </c>
      <c r="Y17" s="125">
        <v>267</v>
      </c>
      <c r="Z17" s="125">
        <v>180</v>
      </c>
      <c r="AA17" s="125">
        <v>171</v>
      </c>
      <c r="AB17" s="125">
        <v>189</v>
      </c>
      <c r="AC17" s="125">
        <v>231</v>
      </c>
      <c r="AD17" s="8">
        <f t="shared" si="2"/>
        <v>2326</v>
      </c>
      <c r="AE17" s="920">
        <f t="shared" si="4"/>
        <v>193.83333333333334</v>
      </c>
      <c r="AF17">
        <f t="shared" ref="AF17:AF18" si="11">AD17*60*60*24*365</f>
        <v>73352736000</v>
      </c>
      <c r="AG17">
        <f t="shared" ref="AG17:AG18" si="12">AF17/1000000000</f>
        <v>73.352735999999993</v>
      </c>
      <c r="AH17" s="8">
        <f t="shared" ref="AH17:AH18" si="13">AG17/12</f>
        <v>6.1127279999999997</v>
      </c>
    </row>
    <row r="18" spans="1:34" ht="23.25" customHeight="1">
      <c r="A18" s="722" t="s">
        <v>407</v>
      </c>
      <c r="B18" s="96">
        <v>354</v>
      </c>
      <c r="C18" s="124">
        <v>347</v>
      </c>
      <c r="D18" s="728">
        <v>315</v>
      </c>
      <c r="E18" s="728">
        <v>296</v>
      </c>
      <c r="F18" s="728">
        <v>296</v>
      </c>
      <c r="G18" s="728">
        <v>300</v>
      </c>
      <c r="H18" s="728">
        <v>299</v>
      </c>
      <c r="I18" s="728">
        <v>261</v>
      </c>
      <c r="J18" s="728">
        <v>223</v>
      </c>
      <c r="K18" s="728">
        <v>282</v>
      </c>
      <c r="L18" s="728">
        <v>325</v>
      </c>
      <c r="M18" s="728">
        <v>315</v>
      </c>
      <c r="N18" s="1008">
        <f t="shared" si="0"/>
        <v>3613</v>
      </c>
      <c r="O18" s="916">
        <f t="shared" si="1"/>
        <v>301.08333333333331</v>
      </c>
      <c r="P18" s="921">
        <f t="shared" si="3"/>
        <v>9.4949639999999995</v>
      </c>
      <c r="Q18" s="605"/>
      <c r="R18" s="96">
        <v>354</v>
      </c>
      <c r="S18" s="124">
        <v>347</v>
      </c>
      <c r="T18" s="728">
        <v>315</v>
      </c>
      <c r="U18" s="728">
        <v>296</v>
      </c>
      <c r="V18" s="728">
        <v>296</v>
      </c>
      <c r="W18" s="728">
        <v>300</v>
      </c>
      <c r="X18" s="728">
        <v>299</v>
      </c>
      <c r="Y18" s="728">
        <v>261</v>
      </c>
      <c r="Z18" s="728">
        <v>223</v>
      </c>
      <c r="AA18" s="728">
        <v>282</v>
      </c>
      <c r="AB18" s="728">
        <v>325</v>
      </c>
      <c r="AC18" s="728">
        <v>315</v>
      </c>
      <c r="AD18" s="8">
        <f t="shared" si="2"/>
        <v>3613</v>
      </c>
      <c r="AE18" s="920">
        <f t="shared" si="4"/>
        <v>301.08333333333331</v>
      </c>
      <c r="AF18">
        <f t="shared" si="11"/>
        <v>113939568000</v>
      </c>
      <c r="AG18">
        <f t="shared" si="12"/>
        <v>113.93956799999999</v>
      </c>
      <c r="AH18" s="8">
        <f t="shared" si="13"/>
        <v>9.4949639999999995</v>
      </c>
    </row>
    <row r="19" spans="1:34" ht="23.25" customHeight="1">
      <c r="A19" s="723" t="s">
        <v>408</v>
      </c>
      <c r="B19" s="914">
        <v>71</v>
      </c>
      <c r="C19" s="125">
        <v>83</v>
      </c>
      <c r="D19" s="125">
        <v>57</v>
      </c>
      <c r="E19" s="125">
        <v>36</v>
      </c>
      <c r="F19" s="125">
        <v>35</v>
      </c>
      <c r="G19" s="125">
        <v>50</v>
      </c>
      <c r="H19" s="125">
        <v>19</v>
      </c>
      <c r="I19" s="125">
        <v>7</v>
      </c>
      <c r="J19" s="125">
        <v>0</v>
      </c>
      <c r="K19" s="125">
        <v>0</v>
      </c>
      <c r="L19" s="125">
        <v>0</v>
      </c>
      <c r="M19" s="125">
        <v>0</v>
      </c>
      <c r="N19" s="1009">
        <f t="shared" si="0"/>
        <v>358</v>
      </c>
      <c r="O19" s="917">
        <f t="shared" si="1"/>
        <v>29.833333333333332</v>
      </c>
      <c r="P19" s="126">
        <f t="shared" si="3"/>
        <v>0.94082399999999999</v>
      </c>
      <c r="Q19" s="605"/>
      <c r="R19" s="914">
        <v>71</v>
      </c>
      <c r="S19" s="125">
        <v>83</v>
      </c>
      <c r="T19" s="125">
        <v>57</v>
      </c>
      <c r="U19" s="125">
        <v>36</v>
      </c>
      <c r="V19" s="125">
        <v>35</v>
      </c>
      <c r="W19" s="125">
        <v>50</v>
      </c>
      <c r="X19" s="125">
        <v>19</v>
      </c>
      <c r="Y19" s="125">
        <v>7</v>
      </c>
      <c r="Z19" s="125">
        <v>0</v>
      </c>
      <c r="AA19" s="125">
        <v>0</v>
      </c>
      <c r="AB19" s="125">
        <v>0</v>
      </c>
      <c r="AC19" s="125">
        <v>0</v>
      </c>
      <c r="AD19" s="8">
        <f t="shared" si="2"/>
        <v>358</v>
      </c>
      <c r="AE19" s="920">
        <f t="shared" si="4"/>
        <v>29.833333333333332</v>
      </c>
      <c r="AF19">
        <f t="shared" si="5"/>
        <v>11289888000</v>
      </c>
      <c r="AG19">
        <f t="shared" si="6"/>
        <v>11.289887999999999</v>
      </c>
      <c r="AH19" s="8">
        <f t="shared" si="7"/>
        <v>0.94082399999999999</v>
      </c>
    </row>
    <row r="20" spans="1:34" ht="23.25" customHeight="1" thickBot="1">
      <c r="A20" s="595" t="s">
        <v>409</v>
      </c>
      <c r="B20" s="51">
        <v>158</v>
      </c>
      <c r="C20" s="51">
        <v>45</v>
      </c>
      <c r="D20" s="51">
        <v>15</v>
      </c>
      <c r="E20" s="51">
        <v>9</v>
      </c>
      <c r="F20" s="51">
        <v>58</v>
      </c>
      <c r="G20" s="51">
        <v>108</v>
      </c>
      <c r="H20" s="51">
        <v>15</v>
      </c>
      <c r="I20" s="51">
        <v>1</v>
      </c>
      <c r="J20" s="51">
        <v>108</v>
      </c>
      <c r="K20" s="51">
        <v>137</v>
      </c>
      <c r="L20" s="51">
        <v>25</v>
      </c>
      <c r="M20" s="51">
        <v>0</v>
      </c>
      <c r="N20" s="1011">
        <f t="shared" si="0"/>
        <v>679</v>
      </c>
      <c r="O20" s="919">
        <f t="shared" si="1"/>
        <v>56.583333333333336</v>
      </c>
      <c r="P20" s="127">
        <f t="shared" si="3"/>
        <v>1.7844119999999999</v>
      </c>
      <c r="Q20" s="605"/>
      <c r="R20" s="51">
        <v>158</v>
      </c>
      <c r="S20" s="51">
        <v>45</v>
      </c>
      <c r="T20" s="51">
        <v>15</v>
      </c>
      <c r="U20" s="51">
        <v>9</v>
      </c>
      <c r="V20" s="51">
        <v>58</v>
      </c>
      <c r="W20" s="51">
        <v>108</v>
      </c>
      <c r="X20" s="51">
        <v>15</v>
      </c>
      <c r="Y20" s="51">
        <v>1</v>
      </c>
      <c r="Z20" s="51">
        <v>108</v>
      </c>
      <c r="AA20" s="51">
        <v>137</v>
      </c>
      <c r="AB20" s="51">
        <v>25</v>
      </c>
      <c r="AC20" s="51">
        <v>0</v>
      </c>
      <c r="AD20" s="8">
        <f t="shared" si="2"/>
        <v>679</v>
      </c>
      <c r="AE20" s="920">
        <f t="shared" si="4"/>
        <v>56.583333333333336</v>
      </c>
      <c r="AF20">
        <f t="shared" si="5"/>
        <v>21412944000</v>
      </c>
      <c r="AG20">
        <f t="shared" si="6"/>
        <v>21.412944</v>
      </c>
      <c r="AH20" s="8">
        <f t="shared" si="7"/>
        <v>1.7844119999999999</v>
      </c>
    </row>
    <row r="21" spans="1:34" ht="5.25" customHeight="1" thickTop="1">
      <c r="A21" s="1131"/>
      <c r="B21" s="1131"/>
      <c r="C21" s="1131"/>
      <c r="D21" s="1131"/>
      <c r="E21" s="12"/>
      <c r="F21" s="12"/>
    </row>
    <row r="22" spans="1:34" ht="20.25" customHeight="1">
      <c r="A22" s="1113" t="s">
        <v>4</v>
      </c>
      <c r="B22" s="1113"/>
      <c r="C22" s="1113"/>
      <c r="D22" s="1113"/>
      <c r="E22" s="1113"/>
      <c r="F22" s="1113"/>
      <c r="G22" s="1113"/>
      <c r="H22" s="1113"/>
      <c r="I22" s="1113"/>
      <c r="R22" s="530"/>
      <c r="S22" s="530"/>
      <c r="T22" s="530"/>
      <c r="U22" s="530"/>
      <c r="V22" s="530"/>
      <c r="W22" s="530"/>
      <c r="X22" s="530"/>
      <c r="Y22" s="530"/>
      <c r="Z22" s="530"/>
      <c r="AA22" s="530"/>
      <c r="AB22" s="530"/>
      <c r="AC22" s="530"/>
      <c r="AD22" s="12"/>
      <c r="AE22" s="12"/>
      <c r="AF22" s="12"/>
      <c r="AG22" s="12"/>
      <c r="AH22" s="12"/>
    </row>
    <row r="23" spans="1:34" ht="37.5" customHeight="1"/>
    <row r="24" spans="1:34" ht="27.75" customHeight="1">
      <c r="A24" s="1122" t="s">
        <v>204</v>
      </c>
      <c r="B24" s="1122"/>
      <c r="C24" s="1122"/>
      <c r="D24" s="1122"/>
      <c r="E24" s="1122"/>
      <c r="F24" s="1122"/>
      <c r="G24" s="92"/>
      <c r="H24" s="92"/>
      <c r="I24" s="92"/>
      <c r="J24" s="92"/>
      <c r="K24" s="92"/>
      <c r="L24" s="92"/>
      <c r="M24" s="92"/>
      <c r="N24" s="92"/>
      <c r="O24" s="37"/>
      <c r="P24" s="630">
        <v>28</v>
      </c>
      <c r="Q24" s="99"/>
      <c r="R24" s="376"/>
      <c r="S24" s="376"/>
      <c r="T24" s="376"/>
      <c r="U24" s="376"/>
      <c r="V24" s="376"/>
      <c r="W24" s="376"/>
      <c r="X24" s="12"/>
      <c r="Y24" s="12"/>
      <c r="Z24" s="12"/>
      <c r="AA24" s="12"/>
      <c r="AB24" s="12"/>
      <c r="AC24" s="12"/>
      <c r="AD24" s="12"/>
      <c r="AE24" s="12"/>
      <c r="AF24" s="12"/>
      <c r="AG24" s="12"/>
      <c r="AH24" s="12"/>
    </row>
  </sheetData>
  <mergeCells count="9">
    <mergeCell ref="P3:P4"/>
    <mergeCell ref="A1:O1"/>
    <mergeCell ref="A21:D21"/>
    <mergeCell ref="A22:I22"/>
    <mergeCell ref="A24:F24"/>
    <mergeCell ref="A3:A4"/>
    <mergeCell ref="B3:M3"/>
    <mergeCell ref="N3:N4"/>
    <mergeCell ref="O3:O4"/>
  </mergeCells>
  <printOptions horizontalCentered="1"/>
  <pageMargins left="0.45" right="0.45" top="0.5" bottom="0.5" header="0.3" footer="0.3"/>
  <pageSetup paperSize="9" scale="9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K25"/>
  <sheetViews>
    <sheetView rightToLeft="1" view="pageBreakPreview" zoomScale="90" zoomScaleSheetLayoutView="90" workbookViewId="0">
      <pane ySplit="4" topLeftCell="A11" activePane="bottomLeft" state="frozen"/>
      <selection pane="bottomLeft" activeCell="K25" sqref="K25"/>
    </sheetView>
  </sheetViews>
  <sheetFormatPr defaultColWidth="10.42578125" defaultRowHeight="15"/>
  <cols>
    <col min="1" max="1" width="12.5703125" customWidth="1"/>
    <col min="2" max="2" width="9.28515625" customWidth="1"/>
    <col min="3" max="3" width="8.5703125" customWidth="1"/>
    <col min="4" max="4" width="11.7109375" customWidth="1"/>
    <col min="5" max="5" width="15.7109375" customWidth="1"/>
    <col min="6" max="6" width="15.85546875" customWidth="1"/>
    <col min="7" max="7" width="15.7109375" customWidth="1"/>
    <col min="8" max="8" width="13.28515625" customWidth="1"/>
    <col min="9" max="9" width="10" customWidth="1"/>
    <col min="10" max="10" width="12.28515625" customWidth="1"/>
    <col min="11" max="11" width="13.7109375" customWidth="1"/>
  </cols>
  <sheetData>
    <row r="1" spans="1:11" ht="30.75" customHeight="1">
      <c r="A1" s="1133" t="s">
        <v>600</v>
      </c>
      <c r="B1" s="1133"/>
      <c r="C1" s="1133"/>
      <c r="D1" s="1133"/>
      <c r="E1" s="1133"/>
      <c r="F1" s="1133"/>
      <c r="G1" s="1133"/>
      <c r="H1" s="1133"/>
      <c r="I1" s="1133"/>
      <c r="J1" s="1133"/>
      <c r="K1" s="1133"/>
    </row>
    <row r="2" spans="1:11" ht="18" customHeight="1" thickBot="1">
      <c r="A2" s="1134" t="s">
        <v>361</v>
      </c>
      <c r="B2" s="1134"/>
      <c r="C2" s="1134"/>
      <c r="D2" s="1134"/>
      <c r="E2" s="1134"/>
      <c r="F2" s="1134"/>
      <c r="G2" s="1134"/>
      <c r="H2" s="1134"/>
      <c r="I2" s="1134"/>
      <c r="J2" s="1134"/>
      <c r="K2" s="1134"/>
    </row>
    <row r="3" spans="1:11" ht="30.75" customHeight="1" thickTop="1">
      <c r="A3" s="1068" t="s">
        <v>57</v>
      </c>
      <c r="B3" s="1111" t="s">
        <v>224</v>
      </c>
      <c r="C3" s="1111"/>
      <c r="D3" s="961" t="s">
        <v>250</v>
      </c>
      <c r="E3" s="961" t="s">
        <v>250</v>
      </c>
      <c r="F3" s="961" t="s">
        <v>305</v>
      </c>
      <c r="G3" s="961" t="s">
        <v>306</v>
      </c>
      <c r="H3" s="1116" t="s">
        <v>312</v>
      </c>
      <c r="I3" s="1116"/>
      <c r="J3" s="1116"/>
      <c r="K3" s="1068" t="s">
        <v>225</v>
      </c>
    </row>
    <row r="4" spans="1:11" s="12" customFormat="1" ht="23.25" customHeight="1">
      <c r="A4" s="1128"/>
      <c r="B4" s="164" t="s">
        <v>249</v>
      </c>
      <c r="C4" s="153" t="s">
        <v>227</v>
      </c>
      <c r="D4" s="962" t="s">
        <v>571</v>
      </c>
      <c r="E4" s="962" t="s">
        <v>251</v>
      </c>
      <c r="F4" s="962" t="s">
        <v>251</v>
      </c>
      <c r="G4" s="962" t="s">
        <v>251</v>
      </c>
      <c r="H4" s="153" t="s">
        <v>252</v>
      </c>
      <c r="I4" s="153" t="s">
        <v>253</v>
      </c>
      <c r="J4" s="153" t="s">
        <v>23</v>
      </c>
      <c r="K4" s="1128"/>
    </row>
    <row r="5" spans="1:11" s="627" customFormat="1" ht="23.25" customHeight="1">
      <c r="A5" s="959" t="s">
        <v>58</v>
      </c>
      <c r="B5" s="585">
        <v>33</v>
      </c>
      <c r="C5" s="963">
        <f>B5/$B$21*100</f>
        <v>13.524590163934427</v>
      </c>
      <c r="D5" s="690">
        <v>81960</v>
      </c>
      <c r="E5" s="690">
        <v>1967040</v>
      </c>
      <c r="F5" s="690">
        <v>1770336</v>
      </c>
      <c r="G5" s="690">
        <v>1639200</v>
      </c>
      <c r="H5" s="690">
        <v>1737552</v>
      </c>
      <c r="I5" s="690">
        <v>0</v>
      </c>
      <c r="J5" s="690">
        <f>I5+H5</f>
        <v>1737552</v>
      </c>
      <c r="K5" s="691">
        <f>G5/E5*100</f>
        <v>83.333333333333343</v>
      </c>
    </row>
    <row r="6" spans="1:11" s="249" customFormat="1" ht="23.25" customHeight="1">
      <c r="A6" s="455" t="s">
        <v>59</v>
      </c>
      <c r="B6" s="354">
        <f>'14'!E6</f>
        <v>10</v>
      </c>
      <c r="C6" s="433">
        <f t="shared" ref="C6:C20" si="0">B6/$B$21*100</f>
        <v>4.0983606557377046</v>
      </c>
      <c r="D6" s="270">
        <v>36850</v>
      </c>
      <c r="E6" s="270">
        <v>884400</v>
      </c>
      <c r="F6" s="270">
        <v>795960</v>
      </c>
      <c r="G6" s="270">
        <v>487475</v>
      </c>
      <c r="H6" s="270">
        <v>511849</v>
      </c>
      <c r="I6" s="270">
        <v>0</v>
      </c>
      <c r="J6" s="458">
        <f t="shared" ref="J6:J20" si="1">I6+H6</f>
        <v>511849</v>
      </c>
      <c r="K6" s="626">
        <f>G6/E6*100</f>
        <v>55.119289914066037</v>
      </c>
    </row>
    <row r="7" spans="1:11" s="249" customFormat="1" ht="23.25" customHeight="1">
      <c r="A7" s="926" t="s">
        <v>60</v>
      </c>
      <c r="B7" s="215">
        <v>28</v>
      </c>
      <c r="C7" s="433">
        <v>11.5</v>
      </c>
      <c r="D7" s="270">
        <v>26120</v>
      </c>
      <c r="E7" s="270">
        <v>626880</v>
      </c>
      <c r="F7" s="270">
        <v>406804</v>
      </c>
      <c r="G7" s="270">
        <v>387326</v>
      </c>
      <c r="H7" s="215">
        <v>426059</v>
      </c>
      <c r="I7" s="215">
        <v>600</v>
      </c>
      <c r="J7" s="215">
        <f>SUM(H7:I7)</f>
        <v>426659</v>
      </c>
      <c r="K7" s="417">
        <f>G7/E7*100</f>
        <v>61.786306789178148</v>
      </c>
    </row>
    <row r="8" spans="1:11" s="249" customFormat="1" ht="23.25" customHeight="1">
      <c r="A8" s="549" t="s">
        <v>296</v>
      </c>
      <c r="B8" s="354">
        <v>21</v>
      </c>
      <c r="C8" s="433">
        <f t="shared" si="0"/>
        <v>8.6065573770491799</v>
      </c>
      <c r="D8" s="270">
        <v>19150</v>
      </c>
      <c r="E8" s="270">
        <v>459600</v>
      </c>
      <c r="F8" s="270">
        <v>306400</v>
      </c>
      <c r="G8" s="270">
        <v>260440</v>
      </c>
      <c r="H8" s="215">
        <v>273462</v>
      </c>
      <c r="I8" s="215">
        <v>0</v>
      </c>
      <c r="J8" s="458">
        <f t="shared" si="1"/>
        <v>273462</v>
      </c>
      <c r="K8" s="626">
        <f>G8/E8*100</f>
        <v>56.666666666666664</v>
      </c>
    </row>
    <row r="9" spans="1:11" s="249" customFormat="1" ht="23.25" customHeight="1">
      <c r="A9" s="889" t="s">
        <v>71</v>
      </c>
      <c r="B9" s="354">
        <f>'14'!E9</f>
        <v>13</v>
      </c>
      <c r="C9" s="433">
        <f t="shared" si="0"/>
        <v>5.3278688524590159</v>
      </c>
      <c r="D9" s="270">
        <v>184605</v>
      </c>
      <c r="E9" s="270">
        <v>4430520</v>
      </c>
      <c r="F9" s="270">
        <v>3900000</v>
      </c>
      <c r="G9" s="270">
        <v>3888000</v>
      </c>
      <c r="H9" s="215">
        <v>4000000</v>
      </c>
      <c r="I9" s="215">
        <v>0</v>
      </c>
      <c r="J9" s="458">
        <f t="shared" si="1"/>
        <v>4000000</v>
      </c>
      <c r="K9" s="626">
        <f t="shared" ref="K9:K21" si="2">G9/E9*100</f>
        <v>87.754936215162104</v>
      </c>
    </row>
    <row r="10" spans="1:11" s="249" customFormat="1" ht="23.25" customHeight="1">
      <c r="A10" s="899" t="s">
        <v>62</v>
      </c>
      <c r="B10" s="354">
        <v>13</v>
      </c>
      <c r="C10" s="433">
        <f t="shared" si="0"/>
        <v>5.3278688524590159</v>
      </c>
      <c r="D10" s="270">
        <v>35400</v>
      </c>
      <c r="E10" s="270">
        <v>849600</v>
      </c>
      <c r="F10" s="270">
        <v>511800</v>
      </c>
      <c r="G10" s="270">
        <v>511800</v>
      </c>
      <c r="H10" s="215">
        <v>562980</v>
      </c>
      <c r="I10" s="215">
        <v>0</v>
      </c>
      <c r="J10" s="458">
        <f t="shared" si="1"/>
        <v>562980</v>
      </c>
      <c r="K10" s="626">
        <f t="shared" si="2"/>
        <v>60.240112994350284</v>
      </c>
    </row>
    <row r="11" spans="1:11" s="249" customFormat="1" ht="23.25" customHeight="1">
      <c r="A11" s="577" t="s">
        <v>64</v>
      </c>
      <c r="B11" s="354">
        <v>18</v>
      </c>
      <c r="C11" s="433">
        <f t="shared" si="0"/>
        <v>7.3770491803278686</v>
      </c>
      <c r="D11" s="270">
        <v>22810</v>
      </c>
      <c r="E11" s="270">
        <v>547440</v>
      </c>
      <c r="F11" s="270">
        <v>433390</v>
      </c>
      <c r="G11" s="270">
        <v>378770</v>
      </c>
      <c r="H11" s="270">
        <v>416647</v>
      </c>
      <c r="I11" s="270">
        <v>0</v>
      </c>
      <c r="J11" s="458">
        <f t="shared" si="1"/>
        <v>416647</v>
      </c>
      <c r="K11" s="626">
        <f t="shared" si="2"/>
        <v>69.189317550781823</v>
      </c>
    </row>
    <row r="12" spans="1:11" s="249" customFormat="1" ht="23.25" customHeight="1">
      <c r="A12" s="587" t="s">
        <v>56</v>
      </c>
      <c r="B12" s="354">
        <f>'14'!E12</f>
        <v>7</v>
      </c>
      <c r="C12" s="433">
        <f t="shared" si="0"/>
        <v>2.8688524590163933</v>
      </c>
      <c r="D12" s="270">
        <v>27750</v>
      </c>
      <c r="E12" s="270">
        <v>666000</v>
      </c>
      <c r="F12" s="270">
        <v>566100</v>
      </c>
      <c r="G12" s="270">
        <v>444000</v>
      </c>
      <c r="H12" s="211">
        <v>488400</v>
      </c>
      <c r="I12" s="211">
        <v>0</v>
      </c>
      <c r="J12" s="458">
        <f t="shared" si="1"/>
        <v>488400</v>
      </c>
      <c r="K12" s="626">
        <f t="shared" si="2"/>
        <v>66.666666666666657</v>
      </c>
    </row>
    <row r="13" spans="1:11" s="248" customFormat="1" ht="23.25" customHeight="1">
      <c r="A13" s="933" t="s">
        <v>63</v>
      </c>
      <c r="B13" s="354">
        <f>'14'!E13</f>
        <v>20</v>
      </c>
      <c r="C13" s="433">
        <f t="shared" si="0"/>
        <v>8.1967213114754092</v>
      </c>
      <c r="D13" s="270">
        <v>21825</v>
      </c>
      <c r="E13" s="270">
        <v>523800</v>
      </c>
      <c r="F13" s="270">
        <v>445320</v>
      </c>
      <c r="G13" s="270">
        <v>236180</v>
      </c>
      <c r="H13" s="215">
        <v>247989</v>
      </c>
      <c r="I13" s="215">
        <v>0</v>
      </c>
      <c r="J13" s="458">
        <f t="shared" si="1"/>
        <v>247989</v>
      </c>
      <c r="K13" s="626">
        <f t="shared" si="2"/>
        <v>45.089728904161895</v>
      </c>
    </row>
    <row r="14" spans="1:11" s="248" customFormat="1" ht="23.25" customHeight="1">
      <c r="A14" s="933" t="s">
        <v>61</v>
      </c>
      <c r="B14" s="354">
        <v>21</v>
      </c>
      <c r="C14" s="433">
        <f t="shared" si="0"/>
        <v>8.6065573770491799</v>
      </c>
      <c r="D14" s="270">
        <v>23852</v>
      </c>
      <c r="E14" s="270">
        <v>572448</v>
      </c>
      <c r="F14" s="270">
        <v>560928</v>
      </c>
      <c r="G14" s="270">
        <v>333620</v>
      </c>
      <c r="H14" s="215">
        <v>345050</v>
      </c>
      <c r="I14" s="215">
        <v>3600</v>
      </c>
      <c r="J14" s="458">
        <f t="shared" si="1"/>
        <v>348650</v>
      </c>
      <c r="K14" s="626">
        <f t="shared" si="2"/>
        <v>58.279529319693665</v>
      </c>
    </row>
    <row r="15" spans="1:11" s="248" customFormat="1" ht="23.25" customHeight="1">
      <c r="A15" s="933" t="s">
        <v>65</v>
      </c>
      <c r="B15" s="354">
        <f>'14'!E15</f>
        <v>6</v>
      </c>
      <c r="C15" s="433">
        <f t="shared" si="0"/>
        <v>2.459016393442623</v>
      </c>
      <c r="D15" s="270">
        <v>19000</v>
      </c>
      <c r="E15" s="270">
        <v>456000</v>
      </c>
      <c r="F15" s="270">
        <v>418000</v>
      </c>
      <c r="G15" s="270">
        <v>418000</v>
      </c>
      <c r="H15" s="215">
        <v>439000</v>
      </c>
      <c r="I15" s="215">
        <v>0</v>
      </c>
      <c r="J15" s="458">
        <f t="shared" si="1"/>
        <v>439000</v>
      </c>
      <c r="K15" s="626">
        <f t="shared" si="2"/>
        <v>91.666666666666657</v>
      </c>
    </row>
    <row r="16" spans="1:11" s="248" customFormat="1" ht="23.25" customHeight="1">
      <c r="A16" s="933" t="s">
        <v>66</v>
      </c>
      <c r="B16" s="354">
        <f>'14'!E16</f>
        <v>17</v>
      </c>
      <c r="C16" s="433">
        <f t="shared" si="0"/>
        <v>6.9672131147540979</v>
      </c>
      <c r="D16" s="270">
        <v>25682</v>
      </c>
      <c r="E16" s="270">
        <v>616368</v>
      </c>
      <c r="F16" s="270">
        <v>554731</v>
      </c>
      <c r="G16" s="270">
        <v>534000</v>
      </c>
      <c r="H16" s="215">
        <v>650000</v>
      </c>
      <c r="I16" s="215">
        <v>0</v>
      </c>
      <c r="J16" s="458">
        <f t="shared" si="1"/>
        <v>650000</v>
      </c>
      <c r="K16" s="626">
        <f t="shared" si="2"/>
        <v>86.636554785452844</v>
      </c>
    </row>
    <row r="17" spans="1:11" s="248" customFormat="1" ht="23.25" customHeight="1">
      <c r="A17" s="933" t="s">
        <v>67</v>
      </c>
      <c r="B17" s="354">
        <f>'14'!E17</f>
        <v>5</v>
      </c>
      <c r="C17" s="433">
        <f t="shared" si="0"/>
        <v>2.0491803278688523</v>
      </c>
      <c r="D17" s="270">
        <v>8435</v>
      </c>
      <c r="E17" s="270">
        <v>202440</v>
      </c>
      <c r="F17" s="270">
        <v>161280</v>
      </c>
      <c r="G17" s="270">
        <v>127000</v>
      </c>
      <c r="H17" s="215">
        <v>152400</v>
      </c>
      <c r="I17" s="215">
        <v>2000</v>
      </c>
      <c r="J17" s="458">
        <f t="shared" si="1"/>
        <v>154400</v>
      </c>
      <c r="K17" s="626">
        <f t="shared" si="2"/>
        <v>62.734637423434101</v>
      </c>
    </row>
    <row r="18" spans="1:11" s="248" customFormat="1" ht="23.25" customHeight="1">
      <c r="A18" s="933" t="s">
        <v>68</v>
      </c>
      <c r="B18" s="354">
        <v>7</v>
      </c>
      <c r="C18" s="433">
        <f t="shared" si="0"/>
        <v>2.8688524590163933</v>
      </c>
      <c r="D18" s="270">
        <v>21800</v>
      </c>
      <c r="E18" s="270">
        <v>523200</v>
      </c>
      <c r="F18" s="270">
        <v>352000</v>
      </c>
      <c r="G18" s="270">
        <v>259600</v>
      </c>
      <c r="H18" s="215">
        <v>272580</v>
      </c>
      <c r="I18" s="215">
        <v>0</v>
      </c>
      <c r="J18" s="458">
        <f t="shared" si="1"/>
        <v>272580</v>
      </c>
      <c r="K18" s="626">
        <f t="shared" si="2"/>
        <v>49.617737003058103</v>
      </c>
    </row>
    <row r="19" spans="1:11" s="248" customFormat="1" ht="23.25" customHeight="1">
      <c r="A19" s="933" t="s">
        <v>69</v>
      </c>
      <c r="B19" s="354">
        <f>'14'!E19</f>
        <v>15</v>
      </c>
      <c r="C19" s="433">
        <f t="shared" si="0"/>
        <v>6.1475409836065573</v>
      </c>
      <c r="D19" s="270">
        <v>6275</v>
      </c>
      <c r="E19" s="270">
        <v>150600</v>
      </c>
      <c r="F19" s="270">
        <v>143070</v>
      </c>
      <c r="G19" s="270">
        <v>140000</v>
      </c>
      <c r="H19" s="215">
        <v>194400</v>
      </c>
      <c r="I19" s="215">
        <v>0</v>
      </c>
      <c r="J19" s="458">
        <f t="shared" si="1"/>
        <v>194400</v>
      </c>
      <c r="K19" s="626">
        <f t="shared" si="2"/>
        <v>92.961487383798129</v>
      </c>
    </row>
    <row r="20" spans="1:11" s="248" customFormat="1" ht="23.25" customHeight="1" thickBot="1">
      <c r="A20" s="216" t="s">
        <v>70</v>
      </c>
      <c r="B20" s="354">
        <f>'14'!E20</f>
        <v>10</v>
      </c>
      <c r="C20" s="662">
        <f t="shared" si="0"/>
        <v>4.0983606557377046</v>
      </c>
      <c r="D20" s="700">
        <v>16800</v>
      </c>
      <c r="E20" s="421">
        <v>403200</v>
      </c>
      <c r="F20" s="421">
        <v>369613</v>
      </c>
      <c r="G20" s="421">
        <v>323411</v>
      </c>
      <c r="H20" s="211">
        <v>367472</v>
      </c>
      <c r="I20" s="211">
        <v>0</v>
      </c>
      <c r="J20" s="458">
        <f t="shared" si="1"/>
        <v>367472</v>
      </c>
      <c r="K20" s="664">
        <f t="shared" si="2"/>
        <v>80.211061507936506</v>
      </c>
    </row>
    <row r="21" spans="1:11" s="206" customFormat="1" ht="23.25" customHeight="1" thickTop="1" thickBot="1">
      <c r="A21" s="222" t="s">
        <v>280</v>
      </c>
      <c r="B21" s="223">
        <f>SUM(B5:B20)</f>
        <v>244</v>
      </c>
      <c r="C21" s="663">
        <f>SUM(C5:C20)</f>
        <v>100.02459016393445</v>
      </c>
      <c r="D21" s="224">
        <f>SUM(D5:D20)</f>
        <v>578314</v>
      </c>
      <c r="E21" s="224">
        <f t="shared" ref="E21:J21" si="3">SUM(E5:E20)</f>
        <v>13879536</v>
      </c>
      <c r="F21" s="224">
        <f t="shared" si="3"/>
        <v>11695732</v>
      </c>
      <c r="G21" s="224">
        <f t="shared" si="3"/>
        <v>10368822</v>
      </c>
      <c r="H21" s="224">
        <f t="shared" si="3"/>
        <v>11085840</v>
      </c>
      <c r="I21" s="224">
        <f t="shared" si="3"/>
        <v>6200</v>
      </c>
      <c r="J21" s="224">
        <f t="shared" si="3"/>
        <v>11092040</v>
      </c>
      <c r="K21" s="229">
        <f t="shared" si="2"/>
        <v>74.705825900808208</v>
      </c>
    </row>
    <row r="22" spans="1:11" ht="24.75" customHeight="1" thickTop="1">
      <c r="A22" s="1137" t="s">
        <v>589</v>
      </c>
      <c r="B22" s="1137"/>
      <c r="C22" s="1137"/>
      <c r="D22" s="1137"/>
      <c r="E22" s="1137"/>
      <c r="F22" s="1137"/>
      <c r="G22" s="1137"/>
      <c r="H22" s="1137"/>
    </row>
    <row r="23" spans="1:11" s="206" customFormat="1" ht="22.5" customHeight="1">
      <c r="A23" s="1135" t="s">
        <v>509</v>
      </c>
      <c r="B23" s="1135"/>
      <c r="C23" s="1135"/>
      <c r="D23" s="1135"/>
      <c r="E23" s="1135"/>
      <c r="F23" s="1135"/>
      <c r="G23" s="1135"/>
      <c r="H23" s="1135"/>
      <c r="I23" s="304"/>
      <c r="J23" s="304"/>
      <c r="K23" s="321"/>
    </row>
    <row r="24" spans="1:11" s="206" customFormat="1" ht="27" customHeight="1">
      <c r="A24" s="1136" t="s">
        <v>292</v>
      </c>
      <c r="B24" s="1136"/>
      <c r="C24" s="1136"/>
      <c r="D24" s="1136"/>
      <c r="E24" s="1136"/>
      <c r="F24" s="952"/>
      <c r="G24" s="952"/>
      <c r="H24" s="952"/>
      <c r="I24" s="219"/>
      <c r="J24" s="219"/>
      <c r="K24" s="221"/>
    </row>
    <row r="25" spans="1:11" ht="18.75" customHeight="1">
      <c r="A25" s="1132" t="s">
        <v>228</v>
      </c>
      <c r="B25" s="1132"/>
      <c r="C25" s="1132"/>
      <c r="D25" s="1132"/>
      <c r="E25" s="1132"/>
      <c r="F25" s="621"/>
      <c r="G25" s="621"/>
      <c r="H25" s="621"/>
      <c r="I25" s="621"/>
      <c r="J25" s="621"/>
      <c r="K25" s="631">
        <v>29</v>
      </c>
    </row>
  </sheetData>
  <mergeCells count="10">
    <mergeCell ref="H3:J3"/>
    <mergeCell ref="A25:E25"/>
    <mergeCell ref="A1:K1"/>
    <mergeCell ref="A2:K2"/>
    <mergeCell ref="A3:A4"/>
    <mergeCell ref="B3:C3"/>
    <mergeCell ref="K3:K4"/>
    <mergeCell ref="A23:H23"/>
    <mergeCell ref="A24:E24"/>
    <mergeCell ref="A22:H22"/>
  </mergeCells>
  <printOptions horizontalCentered="1"/>
  <pageMargins left="0.51180993000874897" right="0.51180993000874897" top="0.55118110236220497" bottom="0.55118110236220497" header="0.31496062992126" footer="0.31496062992126"/>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32</vt:i4>
      </vt:variant>
    </vt:vector>
  </HeadingPairs>
  <TitlesOfParts>
    <vt:vector size="65" baseType="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'24'!Print_Area</vt:lpstr>
      <vt:lpstr>'25'!Print_Area</vt:lpstr>
      <vt:lpstr>'26'!Print_Area</vt:lpstr>
      <vt:lpstr>'28'!Print_Area</vt:lpstr>
      <vt:lpstr>'29'!Print_Area</vt:lpstr>
      <vt:lpstr>'3'!Print_Area</vt:lpstr>
      <vt:lpstr>'30'!Print_Area</vt:lpstr>
      <vt:lpstr>'31'!Print_Area</vt:lpstr>
      <vt:lpstr>'32'!Print_Area</vt:lpstr>
      <vt:lpstr>'33'!Print_Area</vt:lpstr>
      <vt:lpstr>'4'!Print_Area</vt:lpstr>
      <vt:lpstr>'5'!Print_Area</vt:lpstr>
      <vt:lpstr>'6'!Print_Area</vt:lpstr>
      <vt:lpstr>'7'!Print_Area</vt:lpstr>
      <vt:lpstr>'8'!Print_Area</vt:lpstr>
      <vt:lpstr>'9'!Print_Area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laheeb</dc:creator>
  <cp:lastModifiedBy>Hadeel</cp:lastModifiedBy>
  <cp:lastPrinted>2023-08-09T05:20:56Z</cp:lastPrinted>
  <dcterms:created xsi:type="dcterms:W3CDTF">2013-05-13T09:11:50Z</dcterms:created>
  <dcterms:modified xsi:type="dcterms:W3CDTF">2023-10-18T06:59:19Z</dcterms:modified>
</cp:coreProperties>
</file>